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7764" tabRatio="865" activeTab="1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BasisProForma" sheetId="9" r:id="rId7"/>
    <sheet name="6. PF Income Statement" sheetId="10" r:id="rId8"/>
    <sheet name="7. Customer Scorecard" sheetId="11" state="hidden" r:id="rId9"/>
    <sheet name="8. Revenue per FTE" sheetId="12" state="hidden" r:id="rId10"/>
    <sheet name="9. PF EBITDA Reconciliation" sheetId="13" r:id="rId11"/>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Sheet'!$A$1:$AF$64</definedName>
    <definedName name="_xlnm.Print_Area" localSheetId="3">'3. Income Statement'!$A$1:$AI$31</definedName>
    <definedName name="_xlnm.Print_Area" localSheetId="4">'4. Cash Flows'!$A$1:$Z$98</definedName>
    <definedName name="_xlnm.Print_Area" localSheetId="6">'5. BasisProForma'!$A$1:$C$7</definedName>
    <definedName name="_xlnm.Print_Area" localSheetId="7">'6. PF Income Statement'!$A$1:$BE$35</definedName>
    <definedName name="_xlnm.Print_Area" localSheetId="8">'7. Customer Scorecard'!$B$1:$G$17</definedName>
    <definedName name="_xlnm.Print_Area" localSheetId="9">'8. Revenue per FTE'!$A$1:$K$10</definedName>
    <definedName name="_xlnm.Print_Area" localSheetId="10">'9. PF EBITDA Reconciliation'!$A$1:$AZ$44</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52511"/>
</workbook>
</file>

<file path=xl/calcChain.xml><?xml version="1.0" encoding="utf-8"?>
<calcChain xmlns="http://schemas.openxmlformats.org/spreadsheetml/2006/main">
  <c r="AU21" i="10" l="1"/>
  <c r="AX20" i="10"/>
  <c r="AW20" i="10"/>
  <c r="AV20" i="10"/>
  <c r="AU20" i="10"/>
  <c r="AT18" i="10"/>
  <c r="AU18" i="10"/>
  <c r="AX17" i="10"/>
  <c r="AW17" i="10"/>
  <c r="AV17" i="10"/>
  <c r="AU17" i="10"/>
  <c r="AX15" i="10"/>
  <c r="AW15" i="10"/>
  <c r="AV15" i="10"/>
  <c r="AU15" i="10"/>
  <c r="AP31" i="13" l="1"/>
  <c r="AP30" i="13"/>
  <c r="AX25" i="10" l="1"/>
  <c r="AW25" i="10"/>
  <c r="AV25" i="10"/>
  <c r="AT31" i="13"/>
  <c r="AY20" i="10"/>
  <c r="AY15" i="10"/>
  <c r="AV15" i="7" l="1"/>
  <c r="AU15" i="7"/>
  <c r="AT15" i="7"/>
  <c r="AT29" i="13" l="1"/>
  <c r="AT38" i="13"/>
  <c r="BK38" i="13" s="1"/>
  <c r="AT25" i="13"/>
  <c r="AT24" i="13"/>
  <c r="BK24" i="13" s="1"/>
  <c r="AT23" i="13"/>
  <c r="BK23" i="13" s="1"/>
  <c r="BK42" i="13"/>
  <c r="BK41" i="13"/>
  <c r="BK40" i="13"/>
  <c r="BK36" i="13"/>
  <c r="BK35" i="13"/>
  <c r="BK34" i="13"/>
  <c r="BK33" i="13"/>
  <c r="BK32" i="13"/>
  <c r="BK31" i="13"/>
  <c r="BK28" i="13" s="1"/>
  <c r="BK30" i="13"/>
  <c r="BK29" i="13"/>
  <c r="BK27" i="13"/>
  <c r="BK25" i="13"/>
  <c r="BK10" i="13"/>
  <c r="BK8" i="13"/>
  <c r="AT39" i="13"/>
  <c r="AT28" i="13"/>
  <c r="AT8" i="13"/>
  <c r="BK39" i="13"/>
  <c r="BL10" i="10" l="1"/>
  <c r="BL20" i="10"/>
  <c r="BL15" i="10"/>
  <c r="BL12" i="10"/>
  <c r="BL11" i="10"/>
  <c r="AY13" i="10"/>
  <c r="AY21" i="10" s="1"/>
  <c r="AM80" i="8"/>
  <c r="AM76" i="8"/>
  <c r="AM45" i="8"/>
  <c r="AX25" i="7"/>
  <c r="AY15" i="7"/>
  <c r="AY21" i="7" s="1"/>
  <c r="AY23" i="7" s="1"/>
  <c r="AM10" i="8" s="1"/>
  <c r="AM34" i="8" s="1"/>
  <c r="AO61" i="6"/>
  <c r="AO63" i="6" s="1"/>
  <c r="AO60" i="6"/>
  <c r="AO38" i="6"/>
  <c r="AO46" i="6" s="1"/>
  <c r="AO16" i="6"/>
  <c r="AO23" i="6" s="1"/>
  <c r="AT21" i="13" l="1"/>
  <c r="AT26" i="13" s="1"/>
  <c r="AT37" i="13" s="1"/>
  <c r="AT43" i="13" s="1"/>
  <c r="AY25" i="10" s="1"/>
  <c r="BL25" i="10" s="1"/>
  <c r="AY25" i="7"/>
  <c r="AY29" i="7" s="1"/>
  <c r="BL13" i="10"/>
  <c r="AY17" i="10"/>
  <c r="AT12" i="13" s="1"/>
  <c r="AM78" i="8"/>
  <c r="AM81" i="8" s="1"/>
  <c r="AO64" i="6"/>
  <c r="BJ24" i="13"/>
  <c r="AY26" i="10" l="1"/>
  <c r="BL26" i="10"/>
  <c r="AT13" i="13"/>
  <c r="BL21" i="10"/>
  <c r="AY18" i="10"/>
  <c r="BJ42" i="13" l="1"/>
  <c r="BJ41" i="13"/>
  <c r="BJ38" i="13"/>
  <c r="BJ36" i="13"/>
  <c r="BJ35" i="13"/>
  <c r="BJ34" i="13"/>
  <c r="BJ33" i="13"/>
  <c r="BJ32" i="13"/>
  <c r="BJ31" i="13"/>
  <c r="BJ30" i="13"/>
  <c r="BJ29" i="13"/>
  <c r="BJ27" i="13"/>
  <c r="BJ10" i="13"/>
  <c r="BJ40" i="13"/>
  <c r="BE28" i="13"/>
  <c r="BC28" i="13"/>
  <c r="BB28" i="13"/>
  <c r="BA28" i="13"/>
  <c r="AZ28" i="13"/>
  <c r="AY28" i="13"/>
  <c r="AX28" i="13"/>
  <c r="BD40" i="13"/>
  <c r="BF42" i="13"/>
  <c r="BF41" i="13"/>
  <c r="BF39" i="13" s="1"/>
  <c r="BF40" i="13"/>
  <c r="BF38" i="13"/>
  <c r="BF36" i="13"/>
  <c r="BF35" i="13"/>
  <c r="BF32" i="13"/>
  <c r="BF31" i="13"/>
  <c r="BF30" i="13"/>
  <c r="BF29" i="13"/>
  <c r="BD38" i="13"/>
  <c r="BE37" i="13"/>
  <c r="BE43" i="13" s="1"/>
  <c r="BD36" i="13"/>
  <c r="BD35" i="13"/>
  <c r="BD34" i="13"/>
  <c r="BD33" i="13"/>
  <c r="BD32" i="13"/>
  <c r="BD31" i="13"/>
  <c r="BD30" i="13"/>
  <c r="BD29" i="13"/>
  <c r="BD28" i="13" s="1"/>
  <c r="BD27" i="13"/>
  <c r="BF26" i="13"/>
  <c r="BE26" i="13"/>
  <c r="BC26" i="13"/>
  <c r="BC37" i="13" s="1"/>
  <c r="BC43" i="13" s="1"/>
  <c r="BB26" i="13"/>
  <c r="BB37" i="13" s="1"/>
  <c r="BB43" i="13" s="1"/>
  <c r="BA26" i="13"/>
  <c r="AZ26" i="13"/>
  <c r="AY26" i="13"/>
  <c r="AX26" i="13"/>
  <c r="AX37" i="13" s="1"/>
  <c r="AX43" i="13" s="1"/>
  <c r="BD25" i="13"/>
  <c r="BD24" i="13"/>
  <c r="BD23" i="13"/>
  <c r="BD21" i="13"/>
  <c r="BD26" i="13" s="1"/>
  <c r="BD37" i="13" s="1"/>
  <c r="AQ28" i="13"/>
  <c r="AP28" i="13"/>
  <c r="AP37" i="13" s="1"/>
  <c r="AO28" i="13"/>
  <c r="AO37" i="13" s="1"/>
  <c r="AN28" i="13"/>
  <c r="AN37" i="13" s="1"/>
  <c r="AN43" i="13" s="1"/>
  <c r="AM28" i="13"/>
  <c r="AM37" i="13" s="1"/>
  <c r="AL28" i="13"/>
  <c r="AL37" i="13" s="1"/>
  <c r="AP39" i="13"/>
  <c r="AO39" i="13"/>
  <c r="AN39" i="13"/>
  <c r="AM39" i="13"/>
  <c r="AL39" i="13"/>
  <c r="AS25" i="13"/>
  <c r="BJ25" i="13" s="1"/>
  <c r="AS24" i="13"/>
  <c r="AS23" i="13"/>
  <c r="BF28" i="13" l="1"/>
  <c r="BF37" i="13" s="1"/>
  <c r="BF43" i="13" s="1"/>
  <c r="BJ28" i="13"/>
  <c r="AP43" i="13"/>
  <c r="AU25" i="10" s="1"/>
  <c r="AY37" i="13"/>
  <c r="AY43" i="13" s="1"/>
  <c r="BA37" i="13"/>
  <c r="BA43" i="13" s="1"/>
  <c r="BD39" i="13"/>
  <c r="BD43" i="13" s="1"/>
  <c r="AZ37" i="13"/>
  <c r="AZ43" i="13" s="1"/>
  <c r="AO43" i="13"/>
  <c r="AL43" i="13"/>
  <c r="AM43" i="13"/>
  <c r="AS39" i="13" l="1"/>
  <c r="AS28" i="13"/>
  <c r="AS8" i="13"/>
  <c r="J5" i="12"/>
  <c r="BK25" i="10"/>
  <c r="BK26" i="10" s="1"/>
  <c r="BK20" i="10"/>
  <c r="BK21" i="10" s="1"/>
  <c r="BK15" i="10"/>
  <c r="BK13" i="10"/>
  <c r="BK12" i="10"/>
  <c r="BK11" i="10"/>
  <c r="BK10" i="10"/>
  <c r="BI25" i="10"/>
  <c r="BH25" i="10"/>
  <c r="BH26" i="10" s="1"/>
  <c r="BG25" i="10"/>
  <c r="BG26" i="10" s="1"/>
  <c r="BF26" i="10"/>
  <c r="BE26" i="10"/>
  <c r="AU26" i="10"/>
  <c r="AT26" i="10"/>
  <c r="AS26" i="10"/>
  <c r="AR26" i="10"/>
  <c r="AQ26" i="10"/>
  <c r="AX13" i="10"/>
  <c r="AX21" i="10" s="1"/>
  <c r="AL75" i="8"/>
  <c r="AL76" i="8" s="1"/>
  <c r="AN57" i="8"/>
  <c r="AL60" i="8"/>
  <c r="AL45" i="8"/>
  <c r="AL34" i="8"/>
  <c r="AM25" i="7"/>
  <c r="AL25" i="7"/>
  <c r="AK25" i="7"/>
  <c r="AJ25" i="7"/>
  <c r="AN24" i="7"/>
  <c r="AN25" i="7" s="1"/>
  <c r="AH25" i="7"/>
  <c r="AG25" i="7"/>
  <c r="AF25" i="7"/>
  <c r="AE25" i="7"/>
  <c r="AI24" i="7"/>
  <c r="AI25" i="7" s="1"/>
  <c r="AD25" i="7"/>
  <c r="AC25" i="7"/>
  <c r="AB25" i="7"/>
  <c r="AA25" i="7"/>
  <c r="Z25" i="7"/>
  <c r="AD24" i="7"/>
  <c r="X25" i="7"/>
  <c r="W25" i="7"/>
  <c r="V25" i="7"/>
  <c r="U25" i="7"/>
  <c r="Y24" i="7"/>
  <c r="Y25" i="7" s="1"/>
  <c r="AR25" i="7"/>
  <c r="AQ25" i="7"/>
  <c r="AP25" i="7"/>
  <c r="AO25" i="7"/>
  <c r="AS24" i="7"/>
  <c r="AS25" i="7" s="1"/>
  <c r="AT29" i="7"/>
  <c r="AT25" i="7"/>
  <c r="AX24" i="7"/>
  <c r="AW28" i="7"/>
  <c r="AX28" i="7" s="1"/>
  <c r="AW27" i="7"/>
  <c r="AX27" i="7" s="1"/>
  <c r="AX26" i="7"/>
  <c r="AX22" i="7"/>
  <c r="AX20" i="7"/>
  <c r="AX19" i="7"/>
  <c r="AX18" i="7"/>
  <c r="AX17" i="7"/>
  <c r="AX10" i="7"/>
  <c r="AX14" i="7"/>
  <c r="AX13" i="7"/>
  <c r="AX12" i="7"/>
  <c r="AX11" i="7"/>
  <c r="AX9" i="7"/>
  <c r="AX26" i="10" l="1"/>
  <c r="AL78" i="8"/>
  <c r="AL81" i="8" s="1"/>
  <c r="AX15" i="7"/>
  <c r="AX21" i="7" s="1"/>
  <c r="AX23" i="7" s="1"/>
  <c r="AX29" i="7" s="1"/>
  <c r="AW15" i="7"/>
  <c r="AW21" i="7" s="1"/>
  <c r="AW23" i="7" s="1"/>
  <c r="AX18" i="10" l="1"/>
  <c r="AS12" i="13"/>
  <c r="AS13" i="13" s="1"/>
  <c r="AW29" i="7"/>
  <c r="AS21" i="13"/>
  <c r="BK12" i="13" l="1"/>
  <c r="BK13" i="13" s="1"/>
  <c r="BJ12" i="13"/>
  <c r="BJ13" i="13" s="1"/>
  <c r="AS26" i="13"/>
  <c r="AS37" i="13" s="1"/>
  <c r="AS43" i="13" s="1"/>
  <c r="AM64" i="6"/>
  <c r="AL64" i="6"/>
  <c r="AM63" i="6"/>
  <c r="AL63" i="6"/>
  <c r="AK63" i="6"/>
  <c r="AK64" i="6" s="1"/>
  <c r="AJ63" i="6"/>
  <c r="AJ64" i="6" s="1"/>
  <c r="AN61" i="6" l="1"/>
  <c r="AN63" i="6" s="1"/>
  <c r="AN60" i="6"/>
  <c r="AJ46" i="6"/>
  <c r="AN38" i="6"/>
  <c r="AN46" i="6" s="1"/>
  <c r="AN16" i="6"/>
  <c r="AN23" i="6" s="1"/>
  <c r="BI42" i="13"/>
  <c r="BI41" i="13"/>
  <c r="BI40" i="13"/>
  <c r="BI39" i="13" s="1"/>
  <c r="BI38" i="13"/>
  <c r="BI36" i="13"/>
  <c r="BI35" i="13"/>
  <c r="BI32" i="13"/>
  <c r="BI31" i="13"/>
  <c r="BI30" i="13"/>
  <c r="BI29" i="13"/>
  <c r="BI27" i="13"/>
  <c r="BI25" i="13"/>
  <c r="BI24" i="13"/>
  <c r="BI10" i="13"/>
  <c r="AN64" i="6" l="1"/>
  <c r="BI28" i="13"/>
  <c r="BI20" i="10"/>
  <c r="BI15" i="10"/>
  <c r="BI12" i="10"/>
  <c r="BI11" i="10"/>
  <c r="BI10" i="10"/>
  <c r="BI13" i="10" s="1"/>
  <c r="AJ80" i="8"/>
  <c r="AJ81" i="8" s="1"/>
  <c r="AJ78" i="8"/>
  <c r="AJ76" i="8"/>
  <c r="AJ75" i="8"/>
  <c r="AJ60" i="8"/>
  <c r="AJ57" i="8"/>
  <c r="AJ45" i="8"/>
  <c r="AJ34" i="8"/>
  <c r="AL61" i="6"/>
  <c r="AL60" i="6"/>
  <c r="AL16" i="6"/>
  <c r="AL23" i="6" s="1"/>
  <c r="BH42" i="13"/>
  <c r="BG42" i="13"/>
  <c r="BH41" i="13"/>
  <c r="BG41" i="13"/>
  <c r="BH40" i="13"/>
  <c r="BH39" i="13" s="1"/>
  <c r="BG40" i="13"/>
  <c r="BH38" i="13"/>
  <c r="BG38" i="13"/>
  <c r="BH36" i="13"/>
  <c r="BG36" i="13"/>
  <c r="BH35" i="13"/>
  <c r="BG35" i="13"/>
  <c r="BH32" i="13"/>
  <c r="BG32" i="13"/>
  <c r="BH31" i="13"/>
  <c r="BG31" i="13"/>
  <c r="BH30" i="13"/>
  <c r="BG30" i="13"/>
  <c r="BH29" i="13"/>
  <c r="BG29" i="13"/>
  <c r="BH27" i="13"/>
  <c r="BG27" i="13"/>
  <c r="BH25" i="13"/>
  <c r="BG25" i="13"/>
  <c r="BH24" i="13"/>
  <c r="BG24" i="13"/>
  <c r="BG23" i="13"/>
  <c r="BG39" i="13" l="1"/>
  <c r="BG28" i="13"/>
  <c r="BH28" i="13"/>
  <c r="BI21" i="10"/>
  <c r="BI26" i="10"/>
  <c r="AU21" i="7"/>
  <c r="AU23" i="7" s="1"/>
  <c r="AU25" i="7" l="1"/>
  <c r="AU29" i="7" s="1"/>
  <c r="AQ21" i="13"/>
  <c r="BG21" i="13"/>
  <c r="BG26" i="13" s="1"/>
  <c r="BG37" i="13" s="1"/>
  <c r="BG43" i="13" s="1"/>
  <c r="AQ39" i="13"/>
  <c r="AR39" i="13"/>
  <c r="BJ39" i="13" s="1"/>
  <c r="AR28" i="13"/>
  <c r="AQ26" i="13"/>
  <c r="AQ37" i="13" s="1"/>
  <c r="AQ43" i="13" s="1"/>
  <c r="AR23" i="13"/>
  <c r="BH10" i="13"/>
  <c r="BG10" i="13"/>
  <c r="BJ23" i="13" l="1"/>
  <c r="BI23" i="13"/>
  <c r="BH23" i="13"/>
  <c r="AR8" i="13"/>
  <c r="AQ8" i="13"/>
  <c r="BJ8" i="13" s="1"/>
  <c r="BJ25" i="10"/>
  <c r="BJ26" i="10" s="1"/>
  <c r="AV26" i="10"/>
  <c r="AW26" i="10"/>
  <c r="BJ20" i="10"/>
  <c r="BJ15" i="10"/>
  <c r="BJ13" i="10"/>
  <c r="BJ12" i="10"/>
  <c r="BJ11" i="10"/>
  <c r="BJ10" i="10"/>
  <c r="AV21" i="10"/>
  <c r="AV13" i="10"/>
  <c r="AW21" i="10"/>
  <c r="BJ17" i="10"/>
  <c r="AW13" i="10"/>
  <c r="AK76" i="8"/>
  <c r="AK78" i="8" s="1"/>
  <c r="AK81" i="8" s="1"/>
  <c r="AK75" i="8"/>
  <c r="AK60" i="8"/>
  <c r="AK57" i="8"/>
  <c r="AK45" i="8"/>
  <c r="AK34" i="8"/>
  <c r="AV21" i="7"/>
  <c r="AV23" i="7" s="1"/>
  <c r="AM61" i="6"/>
  <c r="AM60" i="6"/>
  <c r="AL38" i="6"/>
  <c r="AL46" i="6" s="1"/>
  <c r="AK38" i="6"/>
  <c r="AM38" i="6"/>
  <c r="AM46" i="6" s="1"/>
  <c r="AM16" i="6"/>
  <c r="AM23" i="6" s="1"/>
  <c r="AK16" i="6"/>
  <c r="BJ21" i="10" l="1"/>
  <c r="AW18" i="10"/>
  <c r="AV18" i="10"/>
  <c r="BL17" i="10"/>
  <c r="BL18" i="10" s="1"/>
  <c r="BK17" i="10"/>
  <c r="BK18" i="10" s="1"/>
  <c r="BI17" i="10"/>
  <c r="BI18" i="10" s="1"/>
  <c r="AV25" i="7"/>
  <c r="AV29" i="7" s="1"/>
  <c r="AR21" i="13"/>
  <c r="BI8" i="13"/>
  <c r="BH8" i="13"/>
  <c r="BG8" i="13"/>
  <c r="BJ18" i="10"/>
  <c r="AI76" i="8"/>
  <c r="AI45" i="8"/>
  <c r="AI34" i="8"/>
  <c r="BK21" i="13" l="1"/>
  <c r="BK26" i="13" s="1"/>
  <c r="BK37" i="13" s="1"/>
  <c r="BK43" i="13" s="1"/>
  <c r="BJ21" i="13"/>
  <c r="BJ26" i="13" s="1"/>
  <c r="BJ37" i="13" s="1"/>
  <c r="BJ43" i="13" s="1"/>
  <c r="AR26" i="13"/>
  <c r="AR37" i="13" s="1"/>
  <c r="AR43" i="13" s="1"/>
  <c r="BI21" i="13"/>
  <c r="BI26" i="13" s="1"/>
  <c r="BI37" i="13" s="1"/>
  <c r="BI43" i="13" s="1"/>
  <c r="BH21" i="13"/>
  <c r="BH26" i="13" s="1"/>
  <c r="BH37" i="13" s="1"/>
  <c r="BH43" i="13" s="1"/>
  <c r="AQ13" i="13"/>
  <c r="BG12" i="13"/>
  <c r="BG13" i="13" s="1"/>
  <c r="AR13" i="13"/>
  <c r="BI12" i="13"/>
  <c r="BI13" i="13" s="1"/>
  <c r="BH12" i="13"/>
  <c r="BH13" i="13" s="1"/>
  <c r="AI78" i="8"/>
  <c r="AI81" i="8" s="1"/>
  <c r="AH75" i="8"/>
  <c r="AH57" i="8"/>
  <c r="AH50" i="8"/>
  <c r="AH76" i="8" s="1"/>
  <c r="AH45" i="8"/>
  <c r="AH34" i="8"/>
  <c r="AH78" i="8" l="1"/>
  <c r="AG75" i="8"/>
  <c r="AG57" i="8"/>
  <c r="AG45" i="8"/>
  <c r="AG34" i="8"/>
  <c r="AG76" i="8" l="1"/>
  <c r="AG78" i="8"/>
  <c r="AG81" i="8" s="1"/>
  <c r="S42" i="13"/>
  <c r="Q42" i="13"/>
  <c r="N42" i="13"/>
  <c r="L42" i="13"/>
  <c r="S41" i="13"/>
  <c r="Q41" i="13"/>
  <c r="N41" i="13"/>
  <c r="L41" i="13"/>
  <c r="S40" i="13"/>
  <c r="Q40" i="13"/>
  <c r="N40" i="13"/>
  <c r="L40" i="13"/>
  <c r="S39" i="13"/>
  <c r="Q39" i="13"/>
  <c r="N39" i="13"/>
  <c r="L39" i="13"/>
  <c r="S38" i="13"/>
  <c r="Q38" i="13"/>
  <c r="N38" i="13"/>
  <c r="L38" i="13"/>
  <c r="S36" i="13"/>
  <c r="Q36" i="13"/>
  <c r="N36" i="13"/>
  <c r="L36" i="13"/>
  <c r="S35" i="13"/>
  <c r="Q35" i="13"/>
  <c r="N35" i="13"/>
  <c r="L35" i="13"/>
  <c r="S32" i="13"/>
  <c r="Q32" i="13"/>
  <c r="N32" i="13"/>
  <c r="L32" i="13"/>
  <c r="S31" i="13"/>
  <c r="Q31" i="13"/>
  <c r="N31" i="13"/>
  <c r="L31" i="13"/>
  <c r="S30" i="13"/>
  <c r="Q30" i="13"/>
  <c r="N30" i="13"/>
  <c r="L30" i="13"/>
  <c r="S29" i="13"/>
  <c r="Q29" i="13"/>
  <c r="N29" i="13"/>
  <c r="L29" i="13"/>
  <c r="S28" i="13"/>
  <c r="Q28" i="13"/>
  <c r="N28" i="13"/>
  <c r="L28" i="13"/>
  <c r="S27" i="13"/>
  <c r="Q27" i="13"/>
  <c r="N27" i="13"/>
  <c r="L27" i="13"/>
  <c r="I26" i="13"/>
  <c r="I37" i="13" s="1"/>
  <c r="I43" i="13" s="1"/>
  <c r="H26" i="13"/>
  <c r="H37" i="13" s="1"/>
  <c r="H43" i="13" s="1"/>
  <c r="G26" i="13"/>
  <c r="F26" i="13"/>
  <c r="F37" i="13" s="1"/>
  <c r="E26" i="13"/>
  <c r="E37" i="13" s="1"/>
  <c r="E43" i="13" s="1"/>
  <c r="D26" i="13"/>
  <c r="D37" i="13" s="1"/>
  <c r="D43" i="13" s="1"/>
  <c r="C26" i="13"/>
  <c r="S25" i="13"/>
  <c r="Q25" i="13"/>
  <c r="N25" i="13"/>
  <c r="L25" i="13"/>
  <c r="S24" i="13"/>
  <c r="Q24" i="13"/>
  <c r="N24" i="13"/>
  <c r="L24" i="13"/>
  <c r="S23" i="13"/>
  <c r="Q23" i="13"/>
  <c r="N23" i="13"/>
  <c r="L23" i="13"/>
  <c r="S21" i="13"/>
  <c r="Q21" i="13"/>
  <c r="N21" i="13"/>
  <c r="L21" i="13"/>
  <c r="I13" i="13"/>
  <c r="H13" i="13"/>
  <c r="G13" i="13"/>
  <c r="F13" i="13"/>
  <c r="E13" i="13"/>
  <c r="D13" i="13"/>
  <c r="C13" i="13"/>
  <c r="S12" i="13"/>
  <c r="Q12" i="13"/>
  <c r="N12" i="13"/>
  <c r="L12" i="13"/>
  <c r="S10" i="13"/>
  <c r="Q10" i="13"/>
  <c r="N10" i="13"/>
  <c r="L10" i="13"/>
  <c r="S8" i="13"/>
  <c r="Q8" i="13"/>
  <c r="N8" i="13"/>
  <c r="L8" i="13"/>
  <c r="G7" i="12"/>
  <c r="F7" i="12"/>
  <c r="F11" i="11"/>
  <c r="AH17" i="10"/>
  <c r="AA76" i="8"/>
  <c r="Z76" i="8"/>
  <c r="W76" i="8"/>
  <c r="V76" i="8"/>
  <c r="U76" i="8"/>
  <c r="T76" i="8"/>
  <c r="S76" i="8"/>
  <c r="R76" i="8"/>
  <c r="Q76" i="8"/>
  <c r="P76" i="8"/>
  <c r="O76" i="8"/>
  <c r="N76" i="8"/>
  <c r="M76" i="8"/>
  <c r="K76" i="8"/>
  <c r="J76" i="8"/>
  <c r="I76" i="8"/>
  <c r="E76" i="8"/>
  <c r="D76" i="8"/>
  <c r="C76" i="8"/>
  <c r="AF75" i="8"/>
  <c r="AE75" i="8"/>
  <c r="H68" i="8"/>
  <c r="AF57" i="8"/>
  <c r="AF76" i="8" s="1"/>
  <c r="AE57" i="8"/>
  <c r="AE76" i="8" s="1"/>
  <c r="AD57" i="8"/>
  <c r="AC57" i="8"/>
  <c r="AD50" i="8"/>
  <c r="AC50" i="8"/>
  <c r="AB50" i="8"/>
  <c r="AB76" i="8" s="1"/>
  <c r="AF45" i="8"/>
  <c r="AE45" i="8"/>
  <c r="AD45" i="8"/>
  <c r="AC45" i="8"/>
  <c r="AB45" i="8"/>
  <c r="AA45" i="8"/>
  <c r="Z45" i="8"/>
  <c r="W45" i="8"/>
  <c r="V45" i="8"/>
  <c r="U45" i="8"/>
  <c r="T45" i="8"/>
  <c r="S45" i="8"/>
  <c r="R45" i="8"/>
  <c r="Q45" i="8"/>
  <c r="P45" i="8"/>
  <c r="O45" i="8"/>
  <c r="N45" i="8"/>
  <c r="M45" i="8"/>
  <c r="K45" i="8"/>
  <c r="J45" i="8"/>
  <c r="I45" i="8"/>
  <c r="E45" i="8"/>
  <c r="D45" i="8"/>
  <c r="C45" i="8"/>
  <c r="AF34" i="8"/>
  <c r="AE34" i="8"/>
  <c r="AD34" i="8"/>
  <c r="AC34" i="8"/>
  <c r="AB34" i="8"/>
  <c r="AA34" i="8"/>
  <c r="Z34" i="8"/>
  <c r="W34" i="8"/>
  <c r="V34" i="8"/>
  <c r="V78" i="8" s="1"/>
  <c r="V81" i="8" s="1"/>
  <c r="U34" i="8"/>
  <c r="U78" i="8" s="1"/>
  <c r="U81" i="8" s="1"/>
  <c r="T34" i="8"/>
  <c r="S34" i="8"/>
  <c r="R34" i="8"/>
  <c r="Q34" i="8"/>
  <c r="P34" i="8"/>
  <c r="O34" i="8"/>
  <c r="N34" i="8"/>
  <c r="M34" i="8"/>
  <c r="K34" i="8"/>
  <c r="J34" i="8"/>
  <c r="I34" i="8"/>
  <c r="E34" i="8"/>
  <c r="D34" i="8"/>
  <c r="C34" i="8"/>
  <c r="S31" i="7"/>
  <c r="S15" i="7"/>
  <c r="S21" i="7" s="1"/>
  <c r="S23" i="7" s="1"/>
  <c r="S29" i="7" s="1"/>
  <c r="R15" i="7"/>
  <c r="R21" i="7" s="1"/>
  <c r="R23" i="7" s="1"/>
  <c r="R29" i="7" s="1"/>
  <c r="P60" i="6"/>
  <c r="O60" i="6"/>
  <c r="P56" i="6"/>
  <c r="O56" i="6"/>
  <c r="P53" i="6"/>
  <c r="O53" i="6"/>
  <c r="O61" i="6" s="1"/>
  <c r="P38" i="6"/>
  <c r="P46" i="6" s="1"/>
  <c r="O38" i="6"/>
  <c r="O46" i="6" s="1"/>
  <c r="P22" i="6"/>
  <c r="O22" i="6"/>
  <c r="P16" i="6"/>
  <c r="O16" i="6"/>
  <c r="Q26" i="13" l="1"/>
  <c r="N13" i="13"/>
  <c r="P23" i="6"/>
  <c r="AD76" i="8"/>
  <c r="S13" i="13"/>
  <c r="L13" i="13"/>
  <c r="C37" i="13"/>
  <c r="C43" i="13" s="1"/>
  <c r="AC76" i="8"/>
  <c r="AC78" i="8" s="1"/>
  <c r="AC81" i="8" s="1"/>
  <c r="Q13" i="13"/>
  <c r="P61" i="6"/>
  <c r="P64" i="6" s="1"/>
  <c r="L26" i="13"/>
  <c r="N26" i="13"/>
  <c r="S26" i="13"/>
  <c r="AD78" i="8"/>
  <c r="AD81" i="8" s="1"/>
  <c r="AH80" i="8" s="1"/>
  <c r="AH81" i="8" s="1"/>
  <c r="O78" i="8"/>
  <c r="O81" i="8" s="1"/>
  <c r="P78" i="8"/>
  <c r="P81" i="8" s="1"/>
  <c r="M78" i="8"/>
  <c r="M81" i="8" s="1"/>
  <c r="Q78" i="8"/>
  <c r="Q81" i="8" s="1"/>
  <c r="AA78" i="8"/>
  <c r="AA81" i="8" s="1"/>
  <c r="W78" i="8"/>
  <c r="W81" i="8" s="1"/>
  <c r="AB78" i="8"/>
  <c r="AB81" i="8" s="1"/>
  <c r="Z78" i="8"/>
  <c r="Z81" i="8" s="1"/>
  <c r="S78" i="8"/>
  <c r="S81" i="8" s="1"/>
  <c r="N78" i="8"/>
  <c r="N81" i="8" s="1"/>
  <c r="T78" i="8"/>
  <c r="T81" i="8" s="1"/>
  <c r="AE78" i="8"/>
  <c r="AE81" i="8" s="1"/>
  <c r="R78" i="8"/>
  <c r="R81" i="8" s="1"/>
  <c r="O23" i="6"/>
  <c r="O64" i="6"/>
  <c r="F43" i="13"/>
  <c r="AF78" i="8"/>
  <c r="AF81" i="8" s="1"/>
  <c r="Q37" i="13"/>
  <c r="G37" i="13"/>
  <c r="S37" i="13" s="1"/>
  <c r="L37" i="13" l="1"/>
  <c r="Q43" i="13"/>
  <c r="L43" i="13"/>
  <c r="N37" i="13"/>
  <c r="G43" i="13"/>
  <c r="N43" i="13" s="1"/>
  <c r="S43" i="13" l="1"/>
</calcChain>
</file>

<file path=xl/sharedStrings.xml><?xml version="1.0" encoding="utf-8"?>
<sst xmlns="http://schemas.openxmlformats.org/spreadsheetml/2006/main" count="782" uniqueCount="391">
  <si>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</si>
  <si>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</si>
  <si>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</si>
  <si>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</si>
  <si>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</si>
  <si>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</si>
  <si>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</si>
  <si>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</si>
  <si>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</si>
  <si>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</si>
  <si>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</si>
  <si>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</si>
  <si>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</si>
  <si>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</si>
  <si>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</si>
  <si>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</si>
  <si>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</si>
  <si>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</si>
  <si>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</si>
  <si>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</si>
  <si>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</si>
  <si>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</si>
  <si>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</si>
  <si>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</si>
  <si>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</si>
  <si>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</si>
  <si>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</si>
  <si>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</si>
  <si>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</si>
  <si>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</si>
  <si>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</si>
  <si>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</si>
  <si>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</si>
  <si>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</si>
  <si>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</si>
  <si>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</si>
  <si>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</si>
  <si>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</si>
  <si>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</si>
  <si>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</si>
  <si>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</si>
  <si>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</si>
  <si>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</si>
  <si>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</si>
  <si>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</si>
  <si>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</si>
  <si>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</si>
  <si>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</si>
  <si>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</si>
  <si>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</si>
  <si>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</si>
  <si>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</si>
  <si>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</si>
  <si>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</si>
  <si>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</si>
  <si>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</si>
  <si>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</si>
  <si>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</si>
  <si>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</si>
  <si>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</si>
  <si>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</si>
  <si>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</si>
  <si>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</si>
  <si>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</si>
  <si>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</si>
  <si>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</si>
  <si>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</si>
  <si>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</si>
  <si>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</si>
  <si>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</si>
  <si>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</si>
  <si>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</si>
  <si>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</si>
  <si>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</si>
  <si>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</si>
  <si>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</si>
  <si>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</si>
  <si>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</si>
  <si>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</si>
  <si>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</si>
  <si>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</si>
  <si>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</si>
  <si>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</si>
  <si>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</si>
  <si>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</si>
  <si>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</si>
  <si>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</si>
  <si>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</si>
  <si>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</si>
  <si>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</si>
  <si>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</si>
  <si>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</si>
  <si>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</si>
  <si>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</si>
  <si>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</si>
  <si>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</si>
  <si>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</si>
  <si>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</si>
  <si>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</si>
  <si>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</si>
  <si>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</si>
  <si>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</si>
  <si>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</si>
  <si>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</si>
  <si>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</si>
  <si>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</si>
  <si>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</si>
  <si>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</si>
  <si>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</si>
  <si>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</si>
  <si>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</si>
  <si>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</si>
  <si>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</si>
  <si>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</si>
  <si>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</si>
  <si>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</si>
  <si>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</si>
  <si>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</si>
  <si>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</si>
  <si>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</si>
  <si>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</si>
  <si>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</si>
  <si>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</si>
  <si>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</si>
  <si>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</si>
  <si>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</si>
  <si>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</si>
  <si>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</si>
  <si>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</si>
  <si>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</si>
  <si>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</si>
  <si>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</si>
  <si>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</si>
  <si>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</si>
  <si>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</si>
  <si>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</si>
  <si>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</si>
  <si>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</si>
  <si>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</si>
  <si>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</si>
  <si>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</si>
  <si>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</si>
  <si>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</si>
  <si>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</si>
  <si>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</si>
  <si>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</si>
  <si>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</si>
  <si>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</si>
  <si>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</si>
  <si>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</si>
  <si>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</si>
  <si>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</si>
  <si>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</si>
  <si>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</si>
  <si>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</si>
  <si>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</si>
  <si>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</si>
  <si>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</si>
  <si>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</si>
  <si>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</si>
  <si>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</si>
  <si>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</si>
  <si>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</si>
  <si>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</si>
  <si>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</si>
  <si>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</si>
  <si>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</si>
  <si>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</si>
  <si>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</si>
  <si>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</si>
  <si>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</si>
  <si>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</si>
  <si>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</si>
  <si>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</si>
  <si>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</si>
  <si>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</si>
  <si>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</si>
  <si>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</si>
  <si>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</si>
  <si>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</si>
  <si>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</si>
  <si>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</si>
  <si>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</si>
  <si>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</si>
  <si>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</si>
  <si>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</si>
  <si>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</si>
  <si>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equity contribution</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</si>
  <si>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</si>
  <si>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</si>
  <si>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</si>
  <si>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</si>
  <si>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</si>
  <si>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</si>
  <si>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</si>
  <si>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</si>
  <si>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</si>
  <si>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</si>
  <si>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</si>
  <si>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</si>
  <si>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</si>
  <si>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</si>
  <si>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</si>
  <si>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</si>
  <si>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</si>
  <si>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</si>
  <si>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</si>
  <si>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</si>
  <si>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</si>
  <si>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</si>
  <si>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</si>
  <si>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</si>
  <si>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</si>
  <si>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</si>
  <si>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</si>
  <si>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</si>
  <si>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</si>
  <si>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</si>
  <si>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</si>
  <si>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</si>
  <si>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</si>
  <si>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</si>
  <si>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</si>
  <si>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</si>
  <si>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</si>
  <si>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</si>
  <si>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</si>
  <si>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</si>
  <si>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</si>
  <si>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</si>
  <si>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</si>
  <si>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</si>
  <si>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</si>
  <si>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</si>
  <si>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</si>
  <si>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</si>
  <si>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</si>
  <si>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</si>
  <si>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</si>
  <si>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</si>
  <si>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</si>
  <si>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</si>
  <si>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</si>
  <si>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</si>
  <si>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</si>
  <si>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</si>
  <si>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</si>
  <si>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</si>
  <si>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</si>
  <si>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</si>
  <si>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</si>
  <si>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</si>
  <si>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</si>
  <si>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</si>
  <si>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</si>
  <si>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</si>
  <si>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</si>
  <si>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</si>
  <si>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</si>
  <si>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</si>
  <si>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</si>
  <si>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</si>
  <si>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</si>
  <si>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</si>
  <si>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</si>
  <si>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</si>
  <si>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</si>
  <si>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</si>
  <si>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</si>
  <si>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</si>
  <si>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</si>
  <si>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</si>
  <si>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</si>
  <si>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</si>
  <si>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</si>
  <si>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</si>
  <si>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</si>
  <si>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</si>
  <si>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</si>
  <si>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</si>
  <si>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</si>
  <si>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</si>
  <si>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</si>
  <si>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</si>
  <si>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</si>
  <si>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</si>
  <si>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</si>
  <si>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</si>
  <si>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</si>
  <si>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</si>
  <si>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</si>
  <si>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</si>
  <si>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</si>
  <si>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</si>
  <si>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</si>
  <si>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</si>
  <si>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</si>
  <si>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</si>
  <si>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</si>
  <si>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</si>
  <si>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</si>
  <si>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</si>
  <si>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</si>
  <si>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</si>
  <si>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</si>
  <si>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</si>
  <si>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</si>
  <si>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</si>
  <si>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</si>
  <si>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</si>
  <si>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t>Q3-2017</t>
  </si>
  <si>
    <t>Q4-2017</t>
  </si>
  <si>
    <t>Q1-2018</t>
  </si>
  <si>
    <t>Q2-2018</t>
  </si>
  <si>
    <t>Q3-2018</t>
  </si>
  <si>
    <t>Q4-2018</t>
  </si>
  <si>
    <t>Q1-2019</t>
  </si>
  <si>
    <t>Q2-2019</t>
  </si>
  <si>
    <t>Q3-2019</t>
  </si>
  <si>
    <t>Q4-2019</t>
  </si>
  <si>
    <t>Q1-2022</t>
  </si>
  <si>
    <t>Q2-2022</t>
  </si>
  <si>
    <t>Q1-2021</t>
  </si>
  <si>
    <t>Q2-2021</t>
  </si>
  <si>
    <t>Q3-2021</t>
  </si>
  <si>
    <t>Q1-2020</t>
  </si>
  <si>
    <t>Q2-2020</t>
  </si>
  <si>
    <t>Q3-2020</t>
  </si>
  <si>
    <t>As of September 30, 2022</t>
  </si>
  <si>
    <t>Q3-2022</t>
  </si>
  <si>
    <t>Nine months ended September 30, 2022</t>
  </si>
  <si>
    <t>Q3 2022</t>
  </si>
  <si>
    <t>Year ended December 31, 2022</t>
  </si>
  <si>
    <t>FY 2022</t>
  </si>
  <si>
    <t>Common Stock exchanged for Series B Preferred Stock</t>
  </si>
  <si>
    <t>Accrued liability for true-up obligation settled through the issuance of 2026 Notes</t>
  </si>
  <si>
    <t>Q4 2022</t>
  </si>
  <si>
    <t>Q4-2020</t>
  </si>
  <si>
    <t>Q4-2021</t>
  </si>
  <si>
    <t>Q4-2022</t>
  </si>
  <si>
    <t>As of March 31, 2023</t>
  </si>
  <si>
    <t>Q1-2023</t>
  </si>
  <si>
    <t>Q1 2023</t>
  </si>
  <si>
    <t>TTM Q1'23</t>
  </si>
  <si>
    <t>Credit loss expense</t>
  </si>
  <si>
    <t>Three months  ended March 31, 2023</t>
  </si>
  <si>
    <t>Proceeds from senior secured term loans and Second Lien Note</t>
  </si>
  <si>
    <t>As of September 30, 2023</t>
  </si>
  <si>
    <t>As of June 30, 2023</t>
  </si>
  <si>
    <t>Income tax receivable</t>
  </si>
  <si>
    <t>Q3-2023</t>
  </si>
  <si>
    <t>Nine months ended September 30, 2023</t>
  </si>
  <si>
    <t>Payment for fractional shares on reverse stock split</t>
  </si>
  <si>
    <t>Accrued PIK interest paid through issuance of PIK Notes</t>
  </si>
  <si>
    <t>Issuance of new notes in exchange of 2023 term loan</t>
  </si>
  <si>
    <t>Issuance of new notes in exchange of 2026 notes</t>
  </si>
  <si>
    <t>Q3 2023</t>
  </si>
  <si>
    <t>TTM Q3'23</t>
  </si>
  <si>
    <t>Q2 2023</t>
  </si>
  <si>
    <t>TTM Q2'23</t>
  </si>
  <si>
    <t>Q2-2023</t>
  </si>
  <si>
    <t>Six months ended June 30, 2023</t>
  </si>
  <si>
    <t>-</t>
  </si>
  <si>
    <t>TTM Q4'23</t>
  </si>
  <si>
    <t>Year ended December 31, 2023</t>
  </si>
  <si>
    <t>Total stockholders' equity (deficit) attributable to Exela Technologies Inc.</t>
  </si>
  <si>
    <t>Non-controlling Interest in XBP Europe</t>
  </si>
  <si>
    <t xml:space="preserve">Total stockholders' equity (deficit) </t>
  </si>
  <si>
    <t>Q4-2023</t>
  </si>
  <si>
    <t>FY 2023</t>
  </si>
  <si>
    <t>Net profit (loss) attributable to noncontrolling interest in XBP Europe, net of taxes</t>
  </si>
  <si>
    <t>Net loss attributable to Exela Technologies, Inc.</t>
  </si>
  <si>
    <t>Fair value adjustment for private warrants liability of XBP Europe</t>
  </si>
  <si>
    <t>Impairment of operating lease right-of-use assets</t>
  </si>
  <si>
    <t>Interest paid on BR Exar AR Facility</t>
  </si>
  <si>
    <t>Borrowings under factoring arrangement and Securitization Facility</t>
  </si>
  <si>
    <t>Borrowing under BR Exar AR Facility</t>
  </si>
  <si>
    <t>Repayments under BR Exar AR Facility</t>
  </si>
  <si>
    <t>Cash received in exchange for the issuance of noncontrolling interest shares in XBP Europe</t>
  </si>
  <si>
    <t>Q4 2023</t>
  </si>
  <si>
    <t>deSPAC cost</t>
  </si>
  <si>
    <t>China Dissolution</t>
  </si>
  <si>
    <r>
      <t>Adjusted EBITDA</t>
    </r>
    <r>
      <rPr>
        <b/>
        <vertAlign val="superscript"/>
        <sz val="12"/>
        <rFont val="Arial Narrow"/>
        <family val="2"/>
      </rPr>
      <t>(1)</t>
    </r>
  </si>
  <si>
    <r>
      <t>Adjusted EBITDA Margin</t>
    </r>
    <r>
      <rPr>
        <i/>
        <vertAlign val="superscript"/>
        <sz val="12"/>
        <rFont val="Arial Narrow"/>
        <family val="2"/>
      </rPr>
      <t>(2)</t>
    </r>
  </si>
  <si>
    <t>As of March 31, 2024</t>
  </si>
  <si>
    <t>Q1-2024</t>
  </si>
  <si>
    <t>Three months  ended March 31, 2024</t>
  </si>
  <si>
    <t>Repayment of BRCC Term Loan</t>
  </si>
  <si>
    <t>Q1 2024</t>
  </si>
  <si>
    <t>TTM Q1'24</t>
  </si>
  <si>
    <t>Waiver and consent fee payable added to outstanding balance of Senior Secured Term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</si>
</sst>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6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0.0_)_%;\([$$]#,##0.0\)_%;_(&quot;–&quot;_)_%;@_)_%"/>
    <numFmt numFmtId="168" formatCode="_(#,##0.0_)_%;_(\(#,##0.0\)_%;_(&quot;–&quot;_)_%;@_(_%"/>
    <numFmt numFmtId="169" formatCode="_(#,##0_)_%;_(\(#,##0\)_%;_(&quot;–&quot;_)_%;@_(_%"/>
    <numFmt numFmtId="170" formatCode="_([$$]#,##0_)_%;\([$$]#,##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380A]\ #,##0.00"/>
  </numFmts>
  <fonts count="155">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
      <sz val="15"/>
      <color rgb="FFFF0000"/>
      <name val="Arial Narrow"/>
      <family val="2"/>
    </font>
    <font>
      <b/>
      <vertAlign val="superscript"/>
      <sz val="12"/>
      <name val="Arial Narrow"/>
      <family val="2"/>
    </font>
    <font>
      <i/>
      <vertAlign val="superscript"/>
      <sz val="12"/>
      <name val="Arial Narrow"/>
      <family val="2"/>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8">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10" borderId="0"/>
    <xf numFmtId="172" fontId="11" fillId="10" borderId="0"/>
    <xf numFmtId="173" fontId="11" fillId="10" borderId="0"/>
    <xf numFmtId="174"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10" borderId="19">
      <alignment horizontal="right"/>
    </xf>
    <xf numFmtId="189"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14"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21"/>
    <xf numFmtId="199" fontId="11" fillId="10" borderId="19">
      <alignment horizontal="right"/>
    </xf>
    <xf numFmtId="199"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5"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10" borderId="0"/>
    <xf numFmtId="209" fontId="11" fillId="10" borderId="0"/>
    <xf numFmtId="0" fontId="67" fillId="0" borderId="0">
      <alignment horizontal="center"/>
    </xf>
    <xf numFmtId="0" fontId="11" fillId="0" borderId="7">
      <alignment horizontal="centerContinuous"/>
    </xf>
    <xf numFmtId="210" fontId="11" fillId="10" borderId="0">
      <alignment horizontal="right"/>
    </xf>
    <xf numFmtId="211"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2"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4" fontId="72" fillId="0" borderId="0" applyNumberFormat="0" applyFill="0" applyBorder="0" applyAlignment="0" applyProtection="0"/>
    <xf numFmtId="204" fontId="59" fillId="23" borderId="0" applyNumberFormat="0" applyFont="0" applyBorder="0" applyAlignment="0" applyProtection="0"/>
    <xf numFmtId="0" fontId="72" fillId="0" borderId="29" applyFill="0" applyProtection="0">
      <alignment horizontal="right" wrapText="1"/>
    </xf>
    <xf numFmtId="204"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43" fontId="1" fillId="0" borderId="0" applyFont="0" applyFill="0" applyBorder="0" applyAlignment="0" applyProtection="0"/>
  </cellStyleXfs>
  <cellXfs count="303">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7"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7" fontId="101" fillId="0" borderId="0" xfId="8" applyNumberFormat="1" applyFont="1" applyFill="1" applyBorder="1" applyAlignment="1">
      <alignment horizontal="right"/>
    </xf>
    <xf numFmtId="169"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10" fillId="0" borderId="0" xfId="1" applyFont="1" applyAlignment="1">
      <alignment wrapText="1"/>
    </xf>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7" fontId="126" fillId="0" borderId="0" xfId="8" applyNumberFormat="1" applyFont="1" applyFill="1" applyBorder="1" applyAlignment="1">
      <alignment horizontal="right" vertical="center"/>
    </xf>
    <xf numFmtId="167" fontId="128" fillId="0" borderId="0" xfId="8" applyNumberFormat="1" applyFont="1" applyFill="1" applyBorder="1" applyAlignment="1">
      <alignment horizontal="right" vertical="center"/>
    </xf>
    <xf numFmtId="167" fontId="128" fillId="0" borderId="10" xfId="8" applyNumberFormat="1" applyFont="1" applyFill="1" applyBorder="1" applyAlignment="1">
      <alignment horizontal="right" vertical="center"/>
    </xf>
    <xf numFmtId="167" fontId="126" fillId="0" borderId="0" xfId="3" applyNumberFormat="1" applyFont="1" applyAlignment="1">
      <alignment horizontal="right" vertical="center"/>
    </xf>
    <xf numFmtId="168"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68" fontId="129" fillId="0" borderId="11" xfId="8" applyNumberFormat="1" applyFont="1" applyFill="1" applyBorder="1" applyAlignment="1">
      <alignment horizontal="right"/>
    </xf>
    <xf numFmtId="167" fontId="130" fillId="0" borderId="0" xfId="8" applyNumberFormat="1" applyFont="1" applyFill="1" applyBorder="1" applyAlignment="1">
      <alignment horizontal="right" vertical="center"/>
    </xf>
    <xf numFmtId="167" fontId="130" fillId="0" borderId="10" xfId="8" applyNumberFormat="1" applyFont="1" applyFill="1" applyBorder="1" applyAlignment="1">
      <alignment horizontal="right" vertical="center"/>
    </xf>
    <xf numFmtId="168" fontId="129" fillId="0" borderId="0" xfId="8" applyNumberFormat="1" applyFont="1" applyFill="1" applyBorder="1" applyAlignment="1">
      <alignment horizontal="right"/>
    </xf>
    <xf numFmtId="0" fontId="126" fillId="0" borderId="0" xfId="8" applyFont="1"/>
    <xf numFmtId="167" fontId="128" fillId="0" borderId="0" xfId="7" applyNumberFormat="1" applyFont="1" applyFill="1" applyBorder="1" applyAlignment="1">
      <alignment horizontal="right" vertical="center"/>
    </xf>
    <xf numFmtId="167"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7"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7" fontId="128" fillId="0" borderId="12" xfId="7" applyNumberFormat="1" applyFont="1" applyFill="1" applyBorder="1" applyAlignment="1">
      <alignment horizontal="right" vertical="center"/>
    </xf>
    <xf numFmtId="167" fontId="131" fillId="0" borderId="0" xfId="7" applyNumberFormat="1" applyFont="1" applyAlignment="1">
      <alignment horizontal="right" vertical="center"/>
    </xf>
    <xf numFmtId="167"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2" fillId="0" borderId="0" xfId="1" applyFont="1"/>
    <xf numFmtId="0" fontId="133" fillId="0" borderId="9" xfId="8" applyFont="1" applyFill="1" applyBorder="1" applyAlignment="1">
      <alignment horizontal="left"/>
    </xf>
    <xf numFmtId="0" fontId="134" fillId="0" borderId="9" xfId="8" applyFont="1" applyFill="1" applyBorder="1" applyAlignment="1">
      <alignment horizontal="center"/>
    </xf>
    <xf numFmtId="0" fontId="135" fillId="0" borderId="0" xfId="8" applyFont="1" applyFill="1" applyBorder="1" applyAlignment="1">
      <alignment horizontal="center"/>
    </xf>
    <xf numFmtId="0" fontId="135" fillId="0" borderId="10" xfId="8" applyFont="1" applyFill="1" applyBorder="1" applyAlignment="1">
      <alignment horizontal="center"/>
    </xf>
    <xf numFmtId="0" fontId="136" fillId="0" borderId="0" xfId="3" applyFont="1"/>
    <xf numFmtId="0" fontId="137" fillId="0" borderId="0" xfId="1" applyFont="1"/>
    <xf numFmtId="0" fontId="132" fillId="0" borderId="0" xfId="1" applyFont="1" applyAlignment="1">
      <alignment wrapText="1"/>
    </xf>
    <xf numFmtId="9" fontId="132" fillId="0" borderId="0" xfId="1" applyNumberFormat="1" applyFont="1"/>
    <xf numFmtId="0" fontId="129" fillId="0" borderId="0" xfId="12" applyFont="1"/>
    <xf numFmtId="167" fontId="129" fillId="0" borderId="0" xfId="12" applyNumberFormat="1" applyFont="1" applyFill="1" applyBorder="1" applyAlignment="1">
      <alignment horizontal="right"/>
    </xf>
    <xf numFmtId="0" fontId="138" fillId="0" borderId="18" xfId="8" applyFont="1" applyFill="1" applyBorder="1" applyAlignment="1">
      <alignment horizontal="center"/>
    </xf>
    <xf numFmtId="0" fontId="129" fillId="0" borderId="0" xfId="12" applyFont="1" applyFill="1" applyBorder="1" applyAlignment="1"/>
    <xf numFmtId="168"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39" fillId="0" borderId="0" xfId="12" applyFont="1" applyFill="1" applyBorder="1" applyAlignment="1">
      <alignment horizontal="left"/>
    </xf>
    <xf numFmtId="167" fontId="129" fillId="0" borderId="0" xfId="8" applyNumberFormat="1" applyFont="1" applyFill="1" applyBorder="1" applyAlignment="1">
      <alignment horizontal="right"/>
    </xf>
    <xf numFmtId="169" fontId="126" fillId="0" borderId="18" xfId="8" applyNumberFormat="1" applyFont="1" applyFill="1" applyBorder="1" applyAlignment="1">
      <alignment horizontal="right"/>
    </xf>
    <xf numFmtId="170" fontId="129" fillId="0" borderId="0" xfId="8" applyNumberFormat="1" applyFont="1" applyFill="1" applyBorder="1" applyAlignment="1">
      <alignment horizontal="right"/>
    </xf>
    <xf numFmtId="169" fontId="129" fillId="0" borderId="0" xfId="8" applyNumberFormat="1" applyFont="1" applyFill="1" applyBorder="1" applyAlignment="1">
      <alignment horizontal="right"/>
    </xf>
    <xf numFmtId="169" fontId="126" fillId="0" borderId="0" xfId="8" applyNumberFormat="1" applyFont="1" applyFill="1" applyBorder="1" applyAlignment="1">
      <alignment horizontal="right"/>
    </xf>
    <xf numFmtId="0" fontId="140" fillId="0" borderId="0" xfId="7" applyFont="1"/>
    <xf numFmtId="167" fontId="129" fillId="0" borderId="11" xfId="8" applyNumberFormat="1" applyFont="1" applyFill="1" applyBorder="1" applyAlignment="1">
      <alignment horizontal="right"/>
    </xf>
    <xf numFmtId="0" fontId="128" fillId="0" borderId="11" xfId="8" applyFont="1" applyBorder="1" applyAlignment="1">
      <alignment horizontal="left" indent="2"/>
    </xf>
    <xf numFmtId="168"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1" fillId="0" borderId="9" xfId="8" applyFont="1" applyFill="1" applyBorder="1" applyAlignment="1">
      <alignment horizontal="left"/>
    </xf>
    <xf numFmtId="0" fontId="142" fillId="0" borderId="9" xfId="8" applyFont="1" applyFill="1" applyBorder="1" applyAlignment="1">
      <alignment horizontal="center"/>
    </xf>
    <xf numFmtId="0" fontId="142" fillId="0" borderId="0" xfId="8" applyFont="1" applyFill="1" applyBorder="1" applyAlignment="1">
      <alignment horizontal="center"/>
    </xf>
    <xf numFmtId="0" fontId="142" fillId="0" borderId="18" xfId="8" applyFont="1" applyFill="1" applyBorder="1" applyAlignment="1">
      <alignment horizontal="center"/>
    </xf>
    <xf numFmtId="0" fontId="143" fillId="0" borderId="0" xfId="7" applyFont="1"/>
    <xf numFmtId="0" fontId="144" fillId="0" borderId="0" xfId="2" applyFont="1" applyAlignment="1" applyProtection="1"/>
    <xf numFmtId="0" fontId="145" fillId="0" borderId="0" xfId="1" applyFont="1" applyFill="1" applyAlignment="1">
      <alignment horizontal="center" vertical="center"/>
    </xf>
    <xf numFmtId="0" fontId="145" fillId="0" borderId="0" xfId="1" applyFont="1" applyFill="1" applyAlignment="1">
      <alignment horizontal="center" vertical="center" wrapText="1"/>
    </xf>
    <xf numFmtId="0" fontId="145" fillId="0" borderId="2" xfId="1" applyFont="1" applyFill="1" applyBorder="1" applyAlignment="1">
      <alignment horizontal="center" vertical="center" wrapText="1"/>
    </xf>
    <xf numFmtId="0" fontId="145" fillId="0" borderId="0" xfId="4" applyFont="1" applyFill="1" applyAlignment="1">
      <alignment horizontal="center" vertical="center"/>
    </xf>
    <xf numFmtId="0" fontId="90" fillId="0" borderId="0" xfId="1" applyFont="1" applyFill="1" applyAlignment="1">
      <alignment horizontal="right"/>
    </xf>
    <xf numFmtId="0" fontId="146" fillId="25" borderId="2" xfId="1" applyFont="1" applyFill="1" applyBorder="1" applyAlignment="1">
      <alignment horizontal="center" vertical="center" wrapText="1"/>
    </xf>
    <xf numFmtId="0" fontId="146" fillId="27" borderId="2" xfId="1" applyFont="1" applyFill="1" applyBorder="1" applyAlignment="1">
      <alignment horizontal="center" vertical="center" wrapText="1"/>
    </xf>
    <xf numFmtId="0" fontId="145" fillId="0" borderId="0" xfId="1" applyFont="1" applyFill="1" applyAlignment="1">
      <alignment horizontal="left" vertical="top" wrapText="1" indent="1"/>
    </xf>
    <xf numFmtId="165" fontId="145" fillId="0" borderId="0" xfId="5" applyNumberFormat="1" applyFont="1" applyFill="1" applyAlignment="1">
      <alignment horizontal="right" wrapText="1"/>
    </xf>
    <xf numFmtId="165" fontId="145" fillId="0" borderId="8" xfId="5" applyNumberFormat="1" applyFont="1" applyFill="1" applyBorder="1" applyAlignment="1">
      <alignment horizontal="right" wrapText="1"/>
    </xf>
    <xf numFmtId="165" fontId="145" fillId="26" borderId="8" xfId="5" applyNumberFormat="1" applyFont="1" applyFill="1" applyBorder="1" applyAlignment="1">
      <alignment horizontal="right" wrapText="1"/>
    </xf>
    <xf numFmtId="0" fontId="145" fillId="0" borderId="0" xfId="4" applyFont="1" applyFill="1"/>
    <xf numFmtId="0" fontId="145" fillId="0" borderId="0" xfId="1" applyFont="1" applyFill="1" applyAlignment="1">
      <alignment horizontal="right"/>
    </xf>
    <xf numFmtId="165" fontId="145" fillId="26" borderId="0" xfId="5" applyNumberFormat="1" applyFont="1" applyFill="1" applyAlignment="1">
      <alignment horizontal="right" wrapText="1"/>
    </xf>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5" fillId="0" borderId="0" xfId="1" applyFont="1" applyFill="1" applyAlignment="1">
      <alignment vertical="top" wrapText="1"/>
    </xf>
    <xf numFmtId="166" fontId="122" fillId="0" borderId="0" xfId="6" applyNumberFormat="1" applyFont="1" applyFill="1"/>
    <xf numFmtId="166" fontId="145" fillId="0" borderId="0" xfId="6" applyNumberFormat="1" applyFont="1" applyFill="1"/>
    <xf numFmtId="165" fontId="145" fillId="0" borderId="0" xfId="5" applyNumberFormat="1" applyFont="1" applyFill="1" applyAlignment="1">
      <alignment horizontal="right"/>
    </xf>
    <xf numFmtId="0" fontId="122" fillId="0" borderId="0" xfId="1" applyFont="1" applyFill="1" applyAlignment="1">
      <alignment horizontal="right"/>
    </xf>
    <xf numFmtId="165" fontId="145"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5" fillId="0" borderId="4" xfId="1" applyFont="1" applyFill="1" applyBorder="1"/>
    <xf numFmtId="41" fontId="145"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5"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5"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5"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5"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5" fillId="0" borderId="0" xfId="1" applyFont="1" applyFill="1"/>
    <xf numFmtId="0" fontId="145" fillId="0" borderId="0" xfId="1" applyFont="1" applyFill="1" applyAlignment="1">
      <alignment horizontal="center" wrapText="1"/>
    </xf>
    <xf numFmtId="0" fontId="122" fillId="0" borderId="0" xfId="4" applyFont="1" applyFill="1"/>
    <xf numFmtId="0" fontId="147"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5" fillId="0" borderId="0" xfId="1" applyFont="1" applyFill="1" applyAlignment="1">
      <alignment horizontal="left" indent="4"/>
    </xf>
    <xf numFmtId="41" fontId="145" fillId="0" borderId="3" xfId="1" applyNumberFormat="1" applyFont="1" applyFill="1" applyBorder="1" applyAlignment="1">
      <alignment horizontal="right"/>
    </xf>
    <xf numFmtId="0" fontId="145" fillId="0" borderId="0" xfId="1" applyFont="1" applyFill="1" applyAlignment="1">
      <alignment horizontal="left" indent="3"/>
    </xf>
    <xf numFmtId="41" fontId="145" fillId="0" borderId="0" xfId="1" applyNumberFormat="1" applyFont="1" applyFill="1" applyAlignment="1">
      <alignment horizontal="right"/>
    </xf>
    <xf numFmtId="0" fontId="145" fillId="0" borderId="0" xfId="1" applyFont="1" applyFill="1" applyAlignment="1">
      <alignment horizontal="left" indent="2"/>
    </xf>
    <xf numFmtId="41" fontId="145"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5" fillId="26" borderId="3" xfId="1" applyNumberFormat="1" applyFont="1" applyFill="1" applyBorder="1" applyAlignment="1">
      <alignment horizontal="right"/>
    </xf>
    <xf numFmtId="41" fontId="145" fillId="26" borderId="0" xfId="1" applyNumberFormat="1" applyFont="1" applyFill="1" applyAlignment="1">
      <alignment horizontal="right"/>
    </xf>
    <xf numFmtId="41" fontId="145"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0" fontId="122" fillId="0" borderId="0" xfId="1" applyFont="1" applyFill="1" applyAlignment="1">
      <alignment horizontal="left" vertical="top" wrapText="1" indent="2"/>
    </xf>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0" fontId="122" fillId="0" borderId="0" xfId="1" applyFont="1" applyFill="1" applyAlignment="1">
      <alignment horizontal="left" wrapText="1" indent="1"/>
    </xf>
    <xf numFmtId="165" fontId="145" fillId="0" borderId="4" xfId="5" applyNumberFormat="1" applyFont="1" applyFill="1" applyBorder="1" applyAlignment="1">
      <alignment horizontal="right" wrapText="1"/>
    </xf>
    <xf numFmtId="165" fontId="145"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48"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4" fillId="0" borderId="1" xfId="2" applyFont="1" applyBorder="1" applyAlignment="1" applyProtection="1">
      <alignment horizontal="center"/>
    </xf>
    <xf numFmtId="0" fontId="110" fillId="0" borderId="0" xfId="1" applyFont="1" applyAlignment="1">
      <alignment horizontal="center"/>
    </xf>
    <xf numFmtId="0" fontId="151" fillId="0" borderId="0" xfId="1" applyFont="1" applyAlignment="1">
      <alignment horizontal="center"/>
    </xf>
    <xf numFmtId="41" fontId="90" fillId="0" borderId="0" xfId="1" applyNumberFormat="1" applyFont="1" applyAlignment="1">
      <alignment horizontal="right"/>
    </xf>
    <xf numFmtId="165" fontId="145" fillId="0" borderId="0" xfId="1" applyNumberFormat="1" applyFont="1" applyFill="1" applyAlignment="1">
      <alignment horizontal="center" vertical="center" wrapText="1"/>
    </xf>
    <xf numFmtId="43" fontId="122" fillId="0" borderId="0" xfId="2917" applyFont="1" applyFill="1"/>
    <xf numFmtId="165" fontId="122" fillId="0" borderId="0" xfId="2917" applyNumberFormat="1" applyFont="1" applyFill="1"/>
    <xf numFmtId="165" fontId="122" fillId="0" borderId="7" xfId="2917" applyNumberFormat="1" applyFont="1" applyFill="1" applyBorder="1" applyAlignment="1">
      <alignment horizontal="right"/>
    </xf>
    <xf numFmtId="225" fontId="92" fillId="0" borderId="0" xfId="1" applyNumberFormat="1" applyFont="1"/>
    <xf numFmtId="4" fontId="97" fillId="0" borderId="0" xfId="7" applyNumberFormat="1" applyFont="1" applyFill="1"/>
    <xf numFmtId="9" fontId="97" fillId="0" borderId="0" xfId="7" applyNumberFormat="1" applyFont="1"/>
    <xf numFmtId="3" fontId="122" fillId="0" borderId="0" xfId="4" applyNumberFormat="1" applyFont="1" applyFill="1"/>
    <xf numFmtId="9" fontId="132" fillId="28" borderId="0" xfId="1" applyNumberFormat="1" applyFont="1" applyFill="1"/>
    <xf numFmtId="0" fontId="132" fillId="28" borderId="0" xfId="1" applyFont="1" applyFill="1"/>
    <xf numFmtId="0" fontId="137" fillId="28" borderId="0" xfId="1" applyFont="1" applyFill="1"/>
    <xf numFmtId="0" fontId="106" fillId="7" borderId="0" xfId="1" applyFont="1" applyFill="1" applyBorder="1" applyAlignment="1">
      <alignment horizontal="center" vertical="center" wrapText="1" readingOrder="1"/>
    </xf>
    <xf numFmtId="6" fontId="108" fillId="8" borderId="0" xfId="1" applyNumberFormat="1" applyFont="1" applyFill="1" applyBorder="1" applyAlignment="1">
      <alignment horizontal="center" vertical="center" wrapText="1" readingOrder="1"/>
    </xf>
    <xf numFmtId="9" fontId="108" fillId="9" borderId="0" xfId="1" applyNumberFormat="1" applyFont="1" applyFill="1" applyBorder="1" applyAlignment="1">
      <alignment horizontal="center" vertical="center" wrapText="1" readingOrder="1"/>
    </xf>
    <xf numFmtId="6" fontId="152" fillId="9" borderId="0" xfId="1" applyNumberFormat="1" applyFont="1" applyFill="1" applyBorder="1" applyAlignment="1">
      <alignment horizontal="center" vertical="center" wrapText="1" readingOrder="1"/>
    </xf>
    <xf numFmtId="3" fontId="108" fillId="28" borderId="0" xfId="1" applyNumberFormat="1" applyFont="1" applyFill="1" applyBorder="1" applyAlignment="1">
      <alignment horizontal="center" vertical="center" wrapText="1" readingOrder="1"/>
    </xf>
    <xf numFmtId="0" fontId="113" fillId="0" borderId="0" xfId="8" applyFont="1" applyFill="1" applyBorder="1" applyAlignment="1"/>
    <xf numFmtId="167" fontId="113" fillId="0" borderId="0" xfId="8" applyNumberFormat="1" applyFont="1" applyFill="1" applyBorder="1" applyAlignment="1">
      <alignment horizontal="right"/>
    </xf>
    <xf numFmtId="170" fontId="113" fillId="0" borderId="0" xfId="8" applyNumberFormat="1" applyFont="1" applyFill="1" applyBorder="1" applyAlignment="1">
      <alignment horizontal="right"/>
    </xf>
    <xf numFmtId="168" fontId="92" fillId="0" borderId="0" xfId="8" applyNumberFormat="1" applyFont="1" applyFill="1" applyBorder="1" applyAlignment="1">
      <alignment horizontal="right"/>
    </xf>
    <xf numFmtId="167" fontId="113" fillId="0" borderId="11" xfId="8" applyNumberFormat="1" applyFont="1" applyFill="1" applyBorder="1" applyAlignment="1">
      <alignment horizontal="right"/>
    </xf>
    <xf numFmtId="168" fontId="92" fillId="0" borderId="11" xfId="8" applyNumberFormat="1" applyFont="1" applyFill="1" applyBorder="1" applyAlignment="1">
      <alignment horizontal="right"/>
    </xf>
    <xf numFmtId="0" fontId="92" fillId="0" borderId="0" xfId="7" applyFont="1" applyFill="1"/>
    <xf numFmtId="167" fontId="113" fillId="0" borderId="0" xfId="8" applyNumberFormat="1" applyFont="1" applyFill="1" applyBorder="1" applyAlignment="1">
      <alignment horizontal="right" vertical="center"/>
    </xf>
    <xf numFmtId="167" fontId="139" fillId="0" borderId="0" xfId="8" applyNumberFormat="1" applyFont="1" applyFill="1" applyBorder="1" applyAlignment="1">
      <alignment horizontal="right" vertical="center"/>
    </xf>
    <xf numFmtId="167" fontId="139" fillId="0" borderId="10" xfId="8" applyNumberFormat="1" applyFont="1" applyFill="1" applyBorder="1" applyAlignment="1">
      <alignment horizontal="right" vertical="center"/>
    </xf>
    <xf numFmtId="168" fontId="113" fillId="0" borderId="0" xfId="8" applyNumberFormat="1" applyFont="1" applyFill="1" applyBorder="1" applyAlignment="1">
      <alignment horizontal="right"/>
    </xf>
    <xf numFmtId="0" fontId="139" fillId="0" borderId="0" xfId="8" applyFont="1" applyFill="1" applyBorder="1" applyAlignment="1">
      <alignment horizontal="left" indent="1"/>
    </xf>
    <xf numFmtId="9" fontId="92" fillId="0" borderId="0" xfId="9" applyFont="1" applyFill="1" applyBorder="1" applyAlignment="1">
      <alignment horizontal="right" vertical="center"/>
    </xf>
    <xf numFmtId="166" fontId="139" fillId="0" borderId="0" xfId="10" applyNumberFormat="1" applyFont="1" applyFill="1" applyBorder="1" applyAlignment="1">
      <alignment horizontal="left" vertical="center" indent="4"/>
    </xf>
    <xf numFmtId="166" fontId="139" fillId="0" borderId="10" xfId="10" applyNumberFormat="1" applyFont="1" applyFill="1" applyBorder="1" applyAlignment="1">
      <alignment horizontal="left" vertical="center" indent="4"/>
    </xf>
    <xf numFmtId="9" fontId="139" fillId="0" borderId="0" xfId="9" applyFont="1" applyFill="1" applyBorder="1" applyAlignment="1">
      <alignment horizontal="left" vertical="center" indent="4"/>
    </xf>
    <xf numFmtId="9" fontId="139" fillId="0" borderId="0" xfId="9" applyFont="1" applyFill="1" applyBorder="1" applyAlignment="1">
      <alignment vertical="center"/>
    </xf>
    <xf numFmtId="167" fontId="92" fillId="0" borderId="0" xfId="3" applyNumberFormat="1" applyFont="1" applyFill="1" applyAlignment="1">
      <alignment horizontal="right" vertical="center"/>
    </xf>
    <xf numFmtId="0" fontId="92" fillId="0" borderId="0" xfId="1" applyFont="1" applyFill="1"/>
    <xf numFmtId="0" fontId="139" fillId="0" borderId="0" xfId="7" applyFont="1" applyFill="1"/>
    <xf numFmtId="165" fontId="122" fillId="28" borderId="0" xfId="5" applyNumberFormat="1" applyFont="1" applyFill="1" applyAlignment="1">
      <alignment horizontal="right" wrapText="1"/>
    </xf>
    <xf numFmtId="0" fontId="149" fillId="4" borderId="0" xfId="1" applyFont="1" applyFill="1" applyAlignment="1">
      <alignment horizontal="center"/>
    </xf>
    <xf numFmtId="0" fontId="150" fillId="4" borderId="0" xfId="1" applyFont="1" applyFill="1" applyAlignment="1">
      <alignment horizontal="center"/>
    </xf>
    <xf numFmtId="0" fontId="97" fillId="0" borderId="0" xfId="7" applyFont="1" applyFill="1" applyAlignment="1">
      <alignment horizontal="center" vertical="center" wrapText="1"/>
    </xf>
    <xf numFmtId="0" fontId="97" fillId="0" borderId="0" xfId="7" applyFont="1" applyFill="1" applyAlignment="1">
      <alignment horizontal="center"/>
    </xf>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xf numFmtId="168" fontId="126" fillId="0" borderId="0" xfId="8" applyNumberFormat="1" applyFont="1" applyFill="1" applyBorder="1" applyAlignment="1"/>
  </cellXfs>
  <cellStyles count="2918">
    <cellStyle name="$" xfId="13"/>
    <cellStyle name="$m" xfId="14"/>
    <cellStyle name="$q" xfId="15"/>
    <cellStyle name="$q*" xfId="16"/>
    <cellStyle name="$qA" xfId="17"/>
    <cellStyle name="$qRange" xfId="18"/>
    <cellStyle name="@_text" xfId="19"/>
    <cellStyle name="@_text_031008.Hengmei.WP BS Bonnie" xfId="20"/>
    <cellStyle name="@_text_20040630.Amcor.WP.updated" xfId="21"/>
    <cellStyle name="@_text_book21" xfId="22"/>
    <cellStyle name="@_text_CN GAAP  US GAAP analysis" xfId="23"/>
    <cellStyle name="@_text_Fixed assets" xfId="24"/>
    <cellStyle name="@_text_GE Dalian PBC 20041231" xfId="25"/>
    <cellStyle name="@_text_Hengmei.2004 Hardclose.PRC Unadjusted audit differences" xfId="26"/>
    <cellStyle name="@_text_KPMG-Chenchao" xfId="27"/>
    <cellStyle name="@_text_sheet" xfId="28"/>
    <cellStyle name="@_text_Working paper of JQ" xfId="29"/>
    <cellStyle name="_041231.GEDL.WP.dd" xfId="30"/>
    <cellStyle name="_122003001_Report" xfId="31"/>
    <cellStyle name="_Accounting Monthly Report -Sep05" xfId="32"/>
    <cellStyle name="_Additional $ 98.7 K" xfId="33"/>
    <cellStyle name="_Additional $ 98.7 K 2" xfId="34"/>
    <cellStyle name="_Additional $ 98.7 K 2 2" xfId="35"/>
    <cellStyle name="_Additional $ 98.7 K 3" xfId="36"/>
    <cellStyle name="_Additional $ 98.7 K_China as on Dec 31 2008" xfId="37"/>
    <cellStyle name="_Back Up File Hungary August" xfId="38"/>
    <cellStyle name="_Book1" xfId="39"/>
    <cellStyle name="_Book1 2" xfId="40"/>
    <cellStyle name="_Book1 2 2" xfId="41"/>
    <cellStyle name="_Book1 3" xfId="42"/>
    <cellStyle name="_Book1_China as on Dec 31 2008" xfId="43"/>
    <cellStyle name="_book21" xfId="44"/>
    <cellStyle name="_Cash advance Aging Report" xfId="45"/>
    <cellStyle name="_China as on Dec 31 2008" xfId="46"/>
    <cellStyle name="_CN GAAP  US GAAP analysis" xfId="47"/>
    <cellStyle name="_Consolidated OP Plan" xfId="48"/>
    <cellStyle name="_Derivative Disclosure FAS 161" xfId="49"/>
    <cellStyle name="_Derivative Disclosure FAS 161 2" xfId="50"/>
    <cellStyle name="_Derivative Disclosure FAS 161 2 2" xfId="51"/>
    <cellStyle name="_Derivative Disclosure FAS 161 3" xfId="52"/>
    <cellStyle name="_Derivatives Reporting -China-A30_Dec07" xfId="53"/>
    <cellStyle name="_Derivatives Reporting -China-Mar08" xfId="54"/>
    <cellStyle name="_Fixed assets" xfId="55"/>
    <cellStyle name="_KPMG FA adjustment for 2004" xfId="56"/>
    <cellStyle name="_KPMG-Chenchao" xfId="57"/>
    <cellStyle name="_OP 08_Capex_Sample" xfId="58"/>
    <cellStyle name="_P229 Consolidated Dec - 07" xfId="59"/>
    <cellStyle name="_Reporting Calendar-2006 Controllership Global " xfId="60"/>
    <cellStyle name="_Reporting Calendar-2006 Controllership Global  2" xfId="61"/>
    <cellStyle name="_Reporting Calendar-2006 Controllership Global  2 2" xfId="62"/>
    <cellStyle name="_Reporting Calendar-2006 Controllership Global  3" xfId="63"/>
    <cellStyle name="_Reporting Calendar-2006 Controllership Global _China as on Dec 31 2008" xfId="64"/>
    <cellStyle name="_revenue report" xfId="65"/>
    <cellStyle name="_Tracker July 06" xfId="66"/>
    <cellStyle name="_Tracker July 06 2" xfId="67"/>
    <cellStyle name="_Tracker July 06 2 2" xfId="68"/>
    <cellStyle name="_Tracker July 06 3" xfId="69"/>
    <cellStyle name="_Tracker July 06_China as on Dec 31 2008" xfId="70"/>
    <cellStyle name="_Un--Jun" xfId="71"/>
    <cellStyle name="_Unsign SLA--Aug" xfId="72"/>
    <cellStyle name="_unsign SLA--May-update" xfId="73"/>
    <cellStyle name="_Unsign SLA--Sep" xfId="74"/>
    <cellStyle name="_Unsigned SOW-Jul YTD" xfId="75"/>
    <cellStyle name="{Comma [0]}" xfId="76"/>
    <cellStyle name="{Comma}" xfId="77"/>
    <cellStyle name="{Date}" xfId="78"/>
    <cellStyle name="{Month}" xfId="79"/>
    <cellStyle name="{Percent}" xfId="80"/>
    <cellStyle name="{Thousand [0]}" xfId="81"/>
    <cellStyle name="{Thousand}" xfId="82"/>
    <cellStyle name="£ BP" xfId="83"/>
    <cellStyle name="£ BP 2" xfId="84"/>
    <cellStyle name="¥ JY" xfId="85"/>
    <cellStyle name="¥ JY 2" xfId="86"/>
    <cellStyle name="al" xfId="87"/>
    <cellStyle name="background" xfId="88"/>
    <cellStyle name="Bad 2 2" xfId="89"/>
    <cellStyle name="banner" xfId="90"/>
    <cellStyle name="Body" xfId="91"/>
    <cellStyle name="Bold/Border" xfId="92"/>
    <cellStyle name="Bullet" xfId="93"/>
    <cellStyle name="Bullet 2" xfId="94"/>
    <cellStyle name="c" xfId="95"/>
    <cellStyle name="c_Aing report" xfId="96"/>
    <cellStyle name="c_Aing report 2" xfId="97"/>
    <cellStyle name="c_AR" xfId="98"/>
    <cellStyle name="c_AR 2" xfId="99"/>
    <cellStyle name="c_Bal Sheets" xfId="100"/>
    <cellStyle name="c_Bal Sheets (2)" xfId="101"/>
    <cellStyle name="c_Bal Sheets (2)_Aing report" xfId="102"/>
    <cellStyle name="c_Bal Sheets (2)_Aing report 2" xfId="103"/>
    <cellStyle name="c_Bal Sheets (2)_AR" xfId="104"/>
    <cellStyle name="c_Bal Sheets (2)_AR 2" xfId="105"/>
    <cellStyle name="c_Bal Sheets (2)_Base HC" xfId="106"/>
    <cellStyle name="c_Bal Sheets (2)_Base HC 2" xfId="107"/>
    <cellStyle name="c_Bal Sheets (2)_Base P&amp;L" xfId="108"/>
    <cellStyle name="c_Bal Sheets (2)_Base P&amp;L 2" xfId="109"/>
    <cellStyle name="c_Bal Sheets (2)_Capex" xfId="110"/>
    <cellStyle name="c_Bal Sheets (2)_Capex 2" xfId="111"/>
    <cellStyle name="c_Bal Sheets (2)_China as on Dec 31 2008" xfId="112"/>
    <cellStyle name="c_Bal Sheets (2)_China as on Dec 31 2008 2" xfId="113"/>
    <cellStyle name="c_Bal Sheets (2)_Customer Details" xfId="114"/>
    <cellStyle name="c_Bal Sheets (2)_Customer Details 2" xfId="115"/>
    <cellStyle name="c_Bal Sheets (2)_Eco Metrics" xfId="116"/>
    <cellStyle name="c_Bal Sheets (2)_Eco Metrics 2" xfId="117"/>
    <cellStyle name="c_Bal Sheets (2)_GC001-China-Aug06" xfId="118"/>
    <cellStyle name="c_Bal Sheets (2)_GC001-China-Aug06 2" xfId="119"/>
    <cellStyle name="c_Bal Sheets (2)_GC001-China-July06" xfId="120"/>
    <cellStyle name="c_Bal Sheets (2)_GC001-China-July06 2" xfId="121"/>
    <cellStyle name="c_Bal Sheets (2)_GC001-China-Oct06" xfId="122"/>
    <cellStyle name="c_Bal Sheets (2)_GC001-China-Oct06 2" xfId="123"/>
    <cellStyle name="c_Bal Sheets (2)_Pipeline" xfId="124"/>
    <cellStyle name="c_Bal Sheets (2)_Pipeline 2" xfId="125"/>
    <cellStyle name="c_Bal Sheets (2)_Pullbacks" xfId="126"/>
    <cellStyle name="c_Bal Sheets (2)_Pullbacks 2" xfId="127"/>
    <cellStyle name="c_Bal Sheets_Aing report" xfId="128"/>
    <cellStyle name="c_Bal Sheets_Aing report 2" xfId="129"/>
    <cellStyle name="c_Bal Sheets_AR" xfId="130"/>
    <cellStyle name="c_Bal Sheets_AR 2" xfId="131"/>
    <cellStyle name="c_Bal Sheets_Base HC" xfId="132"/>
    <cellStyle name="c_Bal Sheets_Base HC 2" xfId="133"/>
    <cellStyle name="c_Bal Sheets_Base P&amp;L" xfId="134"/>
    <cellStyle name="c_Bal Sheets_Base P&amp;L 2" xfId="135"/>
    <cellStyle name="c_Bal Sheets_Capex" xfId="136"/>
    <cellStyle name="c_Bal Sheets_Capex 2" xfId="137"/>
    <cellStyle name="c_Bal Sheets_China as on Dec 31 2008" xfId="138"/>
    <cellStyle name="c_Bal Sheets_China as on Dec 31 2008 2" xfId="139"/>
    <cellStyle name="c_Bal Sheets_Customer Details" xfId="140"/>
    <cellStyle name="c_Bal Sheets_Customer Details 2" xfId="141"/>
    <cellStyle name="c_Bal Sheets_Eco Metrics" xfId="142"/>
    <cellStyle name="c_Bal Sheets_Eco Metrics 2" xfId="143"/>
    <cellStyle name="c_Bal Sheets_GC001-China-Aug06" xfId="144"/>
    <cellStyle name="c_Bal Sheets_GC001-China-Aug06 2" xfId="145"/>
    <cellStyle name="c_Bal Sheets_GC001-China-July06" xfId="146"/>
    <cellStyle name="c_Bal Sheets_GC001-China-July06 2" xfId="147"/>
    <cellStyle name="c_Bal Sheets_GC001-China-Oct06" xfId="148"/>
    <cellStyle name="c_Bal Sheets_GC001-China-Oct06 2" xfId="149"/>
    <cellStyle name="c_Bal Sheets_Pipeline" xfId="150"/>
    <cellStyle name="c_Bal Sheets_Pipeline 2" xfId="151"/>
    <cellStyle name="c_Bal Sheets_Pullbacks" xfId="152"/>
    <cellStyle name="c_Bal Sheets_Pullbacks 2" xfId="153"/>
    <cellStyle name="c_Base HC" xfId="154"/>
    <cellStyle name="c_Base HC 2" xfId="155"/>
    <cellStyle name="c_Base P&amp;L" xfId="156"/>
    <cellStyle name="c_Base P&amp;L 2" xfId="157"/>
    <cellStyle name="c_Capex" xfId="158"/>
    <cellStyle name="c_Capex 2" xfId="159"/>
    <cellStyle name="c_China as on Dec 31 2008" xfId="160"/>
    <cellStyle name="c_China as on Dec 31 2008 2" xfId="161"/>
    <cellStyle name="c_Credit (2)" xfId="162"/>
    <cellStyle name="c_Credit (2)_Aing report" xfId="163"/>
    <cellStyle name="c_Credit (2)_Aing report 2" xfId="164"/>
    <cellStyle name="c_Credit (2)_AR" xfId="165"/>
    <cellStyle name="c_Credit (2)_AR 2" xfId="166"/>
    <cellStyle name="c_Credit (2)_Base HC" xfId="167"/>
    <cellStyle name="c_Credit (2)_Base HC 2" xfId="168"/>
    <cellStyle name="c_Credit (2)_Base P&amp;L" xfId="169"/>
    <cellStyle name="c_Credit (2)_Base P&amp;L 2" xfId="170"/>
    <cellStyle name="c_Credit (2)_Capex" xfId="171"/>
    <cellStyle name="c_Credit (2)_Capex 2" xfId="172"/>
    <cellStyle name="c_Credit (2)_China as on Dec 31 2008" xfId="173"/>
    <cellStyle name="c_Credit (2)_China as on Dec 31 2008 2" xfId="174"/>
    <cellStyle name="c_Credit (2)_Customer Details" xfId="175"/>
    <cellStyle name="c_Credit (2)_Customer Details 2" xfId="176"/>
    <cellStyle name="c_Credit (2)_Eco Metrics" xfId="177"/>
    <cellStyle name="c_Credit (2)_Eco Metrics 2" xfId="178"/>
    <cellStyle name="c_Credit (2)_GC001-China-Aug06" xfId="179"/>
    <cellStyle name="c_Credit (2)_GC001-China-Aug06 2" xfId="180"/>
    <cellStyle name="c_Credit (2)_GC001-China-July06" xfId="181"/>
    <cellStyle name="c_Credit (2)_GC001-China-July06 2" xfId="182"/>
    <cellStyle name="c_Credit (2)_GC001-China-Oct06" xfId="183"/>
    <cellStyle name="c_Credit (2)_GC001-China-Oct06 2" xfId="184"/>
    <cellStyle name="c_Credit (2)_Pipeline" xfId="185"/>
    <cellStyle name="c_Credit (2)_Pipeline 2" xfId="186"/>
    <cellStyle name="c_Credit (2)_Pullbacks" xfId="187"/>
    <cellStyle name="c_Credit (2)_Pullbacks 2" xfId="188"/>
    <cellStyle name="c_Customer Details" xfId="189"/>
    <cellStyle name="c_Customer Details 2" xfId="190"/>
    <cellStyle name="c_Earnings" xfId="191"/>
    <cellStyle name="c_Earnings (2)" xfId="192"/>
    <cellStyle name="c_Earnings (2)_Aing report" xfId="193"/>
    <cellStyle name="c_Earnings (2)_Aing report 2" xfId="194"/>
    <cellStyle name="c_Earnings (2)_AR" xfId="195"/>
    <cellStyle name="c_Earnings (2)_AR 2" xfId="196"/>
    <cellStyle name="c_Earnings (2)_Base HC" xfId="197"/>
    <cellStyle name="c_Earnings (2)_Base HC 2" xfId="198"/>
    <cellStyle name="c_Earnings (2)_Base P&amp;L" xfId="199"/>
    <cellStyle name="c_Earnings (2)_Base P&amp;L 2" xfId="200"/>
    <cellStyle name="c_Earnings (2)_Capex" xfId="201"/>
    <cellStyle name="c_Earnings (2)_Capex 2" xfId="202"/>
    <cellStyle name="c_Earnings (2)_China as on Dec 31 2008" xfId="203"/>
    <cellStyle name="c_Earnings (2)_China as on Dec 31 2008 2" xfId="204"/>
    <cellStyle name="c_Earnings (2)_Customer Details" xfId="205"/>
    <cellStyle name="c_Earnings (2)_Customer Details 2" xfId="206"/>
    <cellStyle name="c_Earnings (2)_Eco Metrics" xfId="207"/>
    <cellStyle name="c_Earnings (2)_Eco Metrics 2" xfId="208"/>
    <cellStyle name="c_Earnings (2)_GC001-China-Aug06" xfId="209"/>
    <cellStyle name="c_Earnings (2)_GC001-China-Aug06 2" xfId="210"/>
    <cellStyle name="c_Earnings (2)_GC001-China-July06" xfId="211"/>
    <cellStyle name="c_Earnings (2)_GC001-China-July06 2" xfId="212"/>
    <cellStyle name="c_Earnings (2)_GC001-China-Oct06" xfId="213"/>
    <cellStyle name="c_Earnings (2)_GC001-China-Oct06 2" xfId="214"/>
    <cellStyle name="c_Earnings (2)_Pipeline" xfId="215"/>
    <cellStyle name="c_Earnings (2)_Pipeline 2" xfId="216"/>
    <cellStyle name="c_Earnings (2)_Pullbacks" xfId="217"/>
    <cellStyle name="c_Earnings (2)_Pullbacks 2" xfId="218"/>
    <cellStyle name="c_Earnings_Aing report" xfId="219"/>
    <cellStyle name="c_Earnings_Aing report 2" xfId="220"/>
    <cellStyle name="c_Earnings_AR" xfId="221"/>
    <cellStyle name="c_Earnings_AR 2" xfId="222"/>
    <cellStyle name="c_Earnings_Base HC" xfId="223"/>
    <cellStyle name="c_Earnings_Base HC 2" xfId="224"/>
    <cellStyle name="c_Earnings_Base P&amp;L" xfId="225"/>
    <cellStyle name="c_Earnings_Base P&amp;L 2" xfId="226"/>
    <cellStyle name="c_Earnings_Capex" xfId="227"/>
    <cellStyle name="c_Earnings_Capex 2" xfId="228"/>
    <cellStyle name="c_Earnings_China as on Dec 31 2008" xfId="229"/>
    <cellStyle name="c_Earnings_China as on Dec 31 2008 2" xfId="230"/>
    <cellStyle name="c_Earnings_Customer Details" xfId="231"/>
    <cellStyle name="c_Earnings_Customer Details 2" xfId="232"/>
    <cellStyle name="c_Earnings_Eco Metrics" xfId="233"/>
    <cellStyle name="c_Earnings_Eco Metrics 2" xfId="234"/>
    <cellStyle name="c_Earnings_GC001-China-Aug06" xfId="235"/>
    <cellStyle name="c_Earnings_GC001-China-Aug06 2" xfId="236"/>
    <cellStyle name="c_Earnings_GC001-China-July06" xfId="237"/>
    <cellStyle name="c_Earnings_GC001-China-July06 2" xfId="238"/>
    <cellStyle name="c_Earnings_GC001-China-Oct06" xfId="239"/>
    <cellStyle name="c_Earnings_GC001-China-Oct06 2" xfId="240"/>
    <cellStyle name="c_Earnings_Pipeline" xfId="241"/>
    <cellStyle name="c_Earnings_Pipeline 2" xfId="242"/>
    <cellStyle name="c_Earnings_Pullbacks" xfId="243"/>
    <cellStyle name="c_Earnings_Pullbacks 2" xfId="244"/>
    <cellStyle name="c_Eco Metrics" xfId="245"/>
    <cellStyle name="c_Eco Metrics 2" xfId="246"/>
    <cellStyle name="c_GC001-China-Aug06" xfId="247"/>
    <cellStyle name="c_GC001-China-Aug06 2" xfId="248"/>
    <cellStyle name="c_GC001-China-July06" xfId="249"/>
    <cellStyle name="c_GC001-China-July06 2" xfId="250"/>
    <cellStyle name="c_GC001-China-Oct06" xfId="251"/>
    <cellStyle name="c_GC001-China-Oct06 2" xfId="252"/>
    <cellStyle name="c_Hist Inputs (2)" xfId="253"/>
    <cellStyle name="c_Hist Inputs (2)_Aing report" xfId="254"/>
    <cellStyle name="c_Hist Inputs (2)_Aing report 2" xfId="255"/>
    <cellStyle name="c_Hist Inputs (2)_AR" xfId="256"/>
    <cellStyle name="c_Hist Inputs (2)_AR 2" xfId="257"/>
    <cellStyle name="c_Hist Inputs (2)_Base HC" xfId="258"/>
    <cellStyle name="c_Hist Inputs (2)_Base HC 2" xfId="259"/>
    <cellStyle name="c_Hist Inputs (2)_Base P&amp;L" xfId="260"/>
    <cellStyle name="c_Hist Inputs (2)_Base P&amp;L 2" xfId="261"/>
    <cellStyle name="c_Hist Inputs (2)_Capex" xfId="262"/>
    <cellStyle name="c_Hist Inputs (2)_Capex 2" xfId="263"/>
    <cellStyle name="c_Hist Inputs (2)_China as on Dec 31 2008" xfId="264"/>
    <cellStyle name="c_Hist Inputs (2)_China as on Dec 31 2008 2" xfId="265"/>
    <cellStyle name="c_Hist Inputs (2)_Customer Details" xfId="266"/>
    <cellStyle name="c_Hist Inputs (2)_Customer Details 2" xfId="267"/>
    <cellStyle name="c_Hist Inputs (2)_Eco Metrics" xfId="268"/>
    <cellStyle name="c_Hist Inputs (2)_Eco Metrics 2" xfId="269"/>
    <cellStyle name="c_Hist Inputs (2)_GC001-China-Aug06" xfId="270"/>
    <cellStyle name="c_Hist Inputs (2)_GC001-China-Aug06 2" xfId="271"/>
    <cellStyle name="c_Hist Inputs (2)_GC001-China-July06" xfId="272"/>
    <cellStyle name="c_Hist Inputs (2)_GC001-China-July06 2" xfId="273"/>
    <cellStyle name="c_Hist Inputs (2)_GC001-China-Oct06" xfId="274"/>
    <cellStyle name="c_Hist Inputs (2)_GC001-China-Oct06 2" xfId="275"/>
    <cellStyle name="c_Hist Inputs (2)_Pipeline" xfId="276"/>
    <cellStyle name="c_Hist Inputs (2)_Pipeline 2" xfId="277"/>
    <cellStyle name="c_Hist Inputs (2)_Pullbacks" xfId="278"/>
    <cellStyle name="c_Hist Inputs (2)_Pullbacks 2" xfId="279"/>
    <cellStyle name="c_LBO Summary" xfId="280"/>
    <cellStyle name="c_LBO Summary_Aing report" xfId="281"/>
    <cellStyle name="c_LBO Summary_Aing report 2" xfId="282"/>
    <cellStyle name="c_LBO Summary_AR" xfId="283"/>
    <cellStyle name="c_LBO Summary_AR 2" xfId="284"/>
    <cellStyle name="c_LBO Summary_Base HC" xfId="285"/>
    <cellStyle name="c_LBO Summary_Base HC 2" xfId="286"/>
    <cellStyle name="c_LBO Summary_Base P&amp;L" xfId="287"/>
    <cellStyle name="c_LBO Summary_Base P&amp;L 2" xfId="288"/>
    <cellStyle name="c_LBO Summary_Capex" xfId="289"/>
    <cellStyle name="c_LBO Summary_Capex 2" xfId="290"/>
    <cellStyle name="c_LBO Summary_China as on Dec 31 2008" xfId="291"/>
    <cellStyle name="c_LBO Summary_China as on Dec 31 2008 2" xfId="292"/>
    <cellStyle name="c_LBO Summary_Customer Details" xfId="293"/>
    <cellStyle name="c_LBO Summary_Customer Details 2" xfId="294"/>
    <cellStyle name="c_LBO Summary_Eco Metrics" xfId="295"/>
    <cellStyle name="c_LBO Summary_Eco Metrics 2" xfId="296"/>
    <cellStyle name="c_LBO Summary_GC001-China-Aug06" xfId="297"/>
    <cellStyle name="c_LBO Summary_GC001-China-Aug06 2" xfId="298"/>
    <cellStyle name="c_LBO Summary_GC001-China-July06" xfId="299"/>
    <cellStyle name="c_LBO Summary_GC001-China-July06 2" xfId="300"/>
    <cellStyle name="c_LBO Summary_GC001-China-Oct06" xfId="301"/>
    <cellStyle name="c_LBO Summary_GC001-China-Oct06 2" xfId="302"/>
    <cellStyle name="c_LBO Summary_Pipeline" xfId="303"/>
    <cellStyle name="c_LBO Summary_Pipeline 2" xfId="304"/>
    <cellStyle name="c_LBO Summary_Pullbacks" xfId="305"/>
    <cellStyle name="c_LBO Summary_Pullbacks 2" xfId="306"/>
    <cellStyle name="c_PFMA Credit (2)" xfId="307"/>
    <cellStyle name="c_PFMA Credit (2)_Aing report" xfId="308"/>
    <cellStyle name="c_PFMA Credit (2)_Aing report 2" xfId="309"/>
    <cellStyle name="c_PFMA Credit (2)_AR" xfId="310"/>
    <cellStyle name="c_PFMA Credit (2)_AR 2" xfId="311"/>
    <cellStyle name="c_PFMA Credit (2)_Base HC" xfId="312"/>
    <cellStyle name="c_PFMA Credit (2)_Base HC 2" xfId="313"/>
    <cellStyle name="c_PFMA Credit (2)_Base P&amp;L" xfId="314"/>
    <cellStyle name="c_PFMA Credit (2)_Base P&amp;L 2" xfId="315"/>
    <cellStyle name="c_PFMA Credit (2)_Capex" xfId="316"/>
    <cellStyle name="c_PFMA Credit (2)_Capex 2" xfId="317"/>
    <cellStyle name="c_PFMA Credit (2)_China as on Dec 31 2008" xfId="318"/>
    <cellStyle name="c_PFMA Credit (2)_China as on Dec 31 2008 2" xfId="319"/>
    <cellStyle name="c_PFMA Credit (2)_Customer Details" xfId="320"/>
    <cellStyle name="c_PFMA Credit (2)_Customer Details 2" xfId="321"/>
    <cellStyle name="c_PFMA Credit (2)_Eco Metrics" xfId="322"/>
    <cellStyle name="c_PFMA Credit (2)_Eco Metrics 2" xfId="323"/>
    <cellStyle name="c_PFMA Credit (2)_GC001-China-Aug06" xfId="324"/>
    <cellStyle name="c_PFMA Credit (2)_GC001-China-Aug06 2" xfId="325"/>
    <cellStyle name="c_PFMA Credit (2)_GC001-China-July06" xfId="326"/>
    <cellStyle name="c_PFMA Credit (2)_GC001-China-July06 2" xfId="327"/>
    <cellStyle name="c_PFMA Credit (2)_GC001-China-Oct06" xfId="328"/>
    <cellStyle name="c_PFMA Credit (2)_GC001-China-Oct06 2" xfId="329"/>
    <cellStyle name="c_PFMA Credit (2)_Pipeline" xfId="330"/>
    <cellStyle name="c_PFMA Credit (2)_Pipeline 2" xfId="331"/>
    <cellStyle name="c_PFMA Credit (2)_Pullbacks" xfId="332"/>
    <cellStyle name="c_PFMA Credit (2)_Pullbacks 2" xfId="333"/>
    <cellStyle name="c_Pipeline" xfId="334"/>
    <cellStyle name="c_Pipeline 2" xfId="335"/>
    <cellStyle name="c_Pullbacks" xfId="336"/>
    <cellStyle name="c_Pullbacks 2" xfId="337"/>
    <cellStyle name="c_Schedules" xfId="338"/>
    <cellStyle name="c_Schedules_Aing report" xfId="339"/>
    <cellStyle name="c_Schedules_Aing report 2" xfId="340"/>
    <cellStyle name="c_Schedules_AR" xfId="341"/>
    <cellStyle name="c_Schedules_AR 2" xfId="342"/>
    <cellStyle name="c_Schedules_Base HC" xfId="343"/>
    <cellStyle name="c_Schedules_Base HC 2" xfId="344"/>
    <cellStyle name="c_Schedules_Base P&amp;L" xfId="345"/>
    <cellStyle name="c_Schedules_Base P&amp;L 2" xfId="346"/>
    <cellStyle name="c_Schedules_Capex" xfId="347"/>
    <cellStyle name="c_Schedules_Capex 2" xfId="348"/>
    <cellStyle name="c_Schedules_China as on Dec 31 2008" xfId="349"/>
    <cellStyle name="c_Schedules_China as on Dec 31 2008 2" xfId="350"/>
    <cellStyle name="c_Schedules_Customer Details" xfId="351"/>
    <cellStyle name="c_Schedules_Customer Details 2" xfId="352"/>
    <cellStyle name="c_Schedules_Eco Metrics" xfId="353"/>
    <cellStyle name="c_Schedules_Eco Metrics 2" xfId="354"/>
    <cellStyle name="c_Schedules_GC001-China-Aug06" xfId="355"/>
    <cellStyle name="c_Schedules_GC001-China-Aug06 2" xfId="356"/>
    <cellStyle name="c_Schedules_GC001-China-July06" xfId="357"/>
    <cellStyle name="c_Schedules_GC001-China-July06 2" xfId="358"/>
    <cellStyle name="c_Schedules_GC001-China-Oct06" xfId="359"/>
    <cellStyle name="c_Schedules_GC001-China-Oct06 2" xfId="360"/>
    <cellStyle name="c_Schedules_Pipeline" xfId="361"/>
    <cellStyle name="c_Schedules_Pipeline 2" xfId="362"/>
    <cellStyle name="c_Schedules_Pullbacks" xfId="363"/>
    <cellStyle name="c_Schedules_Pullbacks 2" xfId="364"/>
    <cellStyle name="c_Trans Assump (2)" xfId="365"/>
    <cellStyle name="c_Trans Assump (2)_Aing report" xfId="366"/>
    <cellStyle name="c_Trans Assump (2)_Aing report 2" xfId="367"/>
    <cellStyle name="c_Trans Assump (2)_AR" xfId="368"/>
    <cellStyle name="c_Trans Assump (2)_AR 2" xfId="369"/>
    <cellStyle name="c_Trans Assump (2)_Base HC" xfId="370"/>
    <cellStyle name="c_Trans Assump (2)_Base HC 2" xfId="371"/>
    <cellStyle name="c_Trans Assump (2)_Base P&amp;L" xfId="372"/>
    <cellStyle name="c_Trans Assump (2)_Base P&amp;L 2" xfId="373"/>
    <cellStyle name="c_Trans Assump (2)_Capex" xfId="374"/>
    <cellStyle name="c_Trans Assump (2)_Capex 2" xfId="375"/>
    <cellStyle name="c_Trans Assump (2)_China as on Dec 31 2008" xfId="376"/>
    <cellStyle name="c_Trans Assump (2)_China as on Dec 31 2008 2" xfId="377"/>
    <cellStyle name="c_Trans Assump (2)_Customer Details" xfId="378"/>
    <cellStyle name="c_Trans Assump (2)_Customer Details 2" xfId="379"/>
    <cellStyle name="c_Trans Assump (2)_Eco Metrics" xfId="380"/>
    <cellStyle name="c_Trans Assump (2)_Eco Metrics 2" xfId="381"/>
    <cellStyle name="c_Trans Assump (2)_GC001-China-Aug06" xfId="382"/>
    <cellStyle name="c_Trans Assump (2)_GC001-China-Aug06 2" xfId="383"/>
    <cellStyle name="c_Trans Assump (2)_GC001-China-July06" xfId="384"/>
    <cellStyle name="c_Trans Assump (2)_GC001-China-July06 2" xfId="385"/>
    <cellStyle name="c_Trans Assump (2)_GC001-China-Oct06" xfId="386"/>
    <cellStyle name="c_Trans Assump (2)_GC001-China-Oct06 2" xfId="387"/>
    <cellStyle name="c_Trans Assump (2)_Pipeline" xfId="388"/>
    <cellStyle name="c_Trans Assump (2)_Pipeline 2" xfId="389"/>
    <cellStyle name="c_Trans Assump (2)_Pullbacks" xfId="390"/>
    <cellStyle name="c_Trans Assump (2)_Pullbacks 2" xfId="391"/>
    <cellStyle name="c_Unit Price Sen. (2)" xfId="392"/>
    <cellStyle name="c_Unit Price Sen. (2)_Aing report" xfId="393"/>
    <cellStyle name="c_Unit Price Sen. (2)_Aing report 2" xfId="394"/>
    <cellStyle name="c_Unit Price Sen. (2)_AR" xfId="395"/>
    <cellStyle name="c_Unit Price Sen. (2)_AR 2" xfId="396"/>
    <cellStyle name="c_Unit Price Sen. (2)_Base HC" xfId="397"/>
    <cellStyle name="c_Unit Price Sen. (2)_Base HC 2" xfId="398"/>
    <cellStyle name="c_Unit Price Sen. (2)_Base P&amp;L" xfId="399"/>
    <cellStyle name="c_Unit Price Sen. (2)_Base P&amp;L 2" xfId="400"/>
    <cellStyle name="c_Unit Price Sen. (2)_Capex" xfId="401"/>
    <cellStyle name="c_Unit Price Sen. (2)_Capex 2" xfId="402"/>
    <cellStyle name="c_Unit Price Sen. (2)_China as on Dec 31 2008" xfId="403"/>
    <cellStyle name="c_Unit Price Sen. (2)_China as on Dec 31 2008 2" xfId="404"/>
    <cellStyle name="c_Unit Price Sen. (2)_Customer Details" xfId="405"/>
    <cellStyle name="c_Unit Price Sen. (2)_Customer Details 2" xfId="406"/>
    <cellStyle name="c_Unit Price Sen. (2)_Eco Metrics" xfId="407"/>
    <cellStyle name="c_Unit Price Sen. (2)_Eco Metrics 2" xfId="408"/>
    <cellStyle name="c_Unit Price Sen. (2)_GC001-China-Aug06" xfId="409"/>
    <cellStyle name="c_Unit Price Sen. (2)_GC001-China-Aug06 2" xfId="410"/>
    <cellStyle name="c_Unit Price Sen. (2)_GC001-China-July06" xfId="411"/>
    <cellStyle name="c_Unit Price Sen. (2)_GC001-China-July06 2" xfId="412"/>
    <cellStyle name="c_Unit Price Sen. (2)_GC001-China-Oct06" xfId="413"/>
    <cellStyle name="c_Unit Price Sen. (2)_GC001-China-Oct06 2" xfId="414"/>
    <cellStyle name="c_Unit Price Sen. (2)_Pipeline" xfId="415"/>
    <cellStyle name="c_Unit Price Sen. (2)_Pipeline 2" xfId="416"/>
    <cellStyle name="c_Unit Price Sen. (2)_Pullbacks" xfId="417"/>
    <cellStyle name="c_Unit Price Sen. (2)_Pullbacks 2" xfId="418"/>
    <cellStyle name="calc" xfId="419"/>
    <cellStyle name="Calc Currency (0)" xfId="420"/>
    <cellStyle name="Calc Currency (0) 2" xfId="421"/>
    <cellStyle name="Calc Currency (0) 2 2" xfId="422"/>
    <cellStyle name="Calc Currency (0) 3" xfId="423"/>
    <cellStyle name="Calc Currency (0) 4" xfId="424"/>
    <cellStyle name="calculated" xfId="425"/>
    <cellStyle name="Comma" xfId="2917" builtinId="3"/>
    <cellStyle name="Comma 10" xfId="426"/>
    <cellStyle name="Comma 10 10" xfId="427"/>
    <cellStyle name="Comma 10 2" xfId="428"/>
    <cellStyle name="Comma 10 3" xfId="429"/>
    <cellStyle name="Comma 104" xfId="430"/>
    <cellStyle name="Comma 104 2" xfId="431"/>
    <cellStyle name="Comma 11" xfId="432"/>
    <cellStyle name="Comma 11 2" xfId="433"/>
    <cellStyle name="Comma 11 3" xfId="434"/>
    <cellStyle name="Comma 12" xfId="435"/>
    <cellStyle name="Comma 15" xfId="436"/>
    <cellStyle name="Comma 15 2 2" xfId="437"/>
    <cellStyle name="Comma 169" xfId="438"/>
    <cellStyle name="Comma 2" xfId="5"/>
    <cellStyle name="Comma 2 10" xfId="439"/>
    <cellStyle name="Comma 2 2 10" xfId="440"/>
    <cellStyle name="Comma 2 8" xfId="441"/>
    <cellStyle name="Comma 2 9" xfId="442"/>
    <cellStyle name="Comma 2 93" xfId="443"/>
    <cellStyle name="Comma 3" xfId="444"/>
    <cellStyle name="Comma 3 2" xfId="445"/>
    <cellStyle name="Comma 3 2 2" xfId="446"/>
    <cellStyle name="Comma 3 2 3" xfId="447"/>
    <cellStyle name="Comma 3 2 4" xfId="448"/>
    <cellStyle name="Comma 4" xfId="449"/>
    <cellStyle name="Comma 4 2" xfId="450"/>
    <cellStyle name="Comma 4 6" xfId="451"/>
    <cellStyle name="Comma 48" xfId="452"/>
    <cellStyle name="Comma 48 2 2" xfId="453"/>
    <cellStyle name="Comma 5" xfId="454"/>
    <cellStyle name="Comma 5 2" xfId="455"/>
    <cellStyle name="Comma 51" xfId="456"/>
    <cellStyle name="Comma 54" xfId="457"/>
    <cellStyle name="Comma 54 3" xfId="458"/>
    <cellStyle name="Comma 6" xfId="459"/>
    <cellStyle name="Comma 6 2" xfId="460"/>
    <cellStyle name="Comma 7" xfId="461"/>
    <cellStyle name="Comma 7 2 2" xfId="462"/>
    <cellStyle name="Comma 76" xfId="463"/>
    <cellStyle name="Comma 77" xfId="464"/>
    <cellStyle name="Comma 8" xfId="465"/>
    <cellStyle name="Comma 8 2" xfId="466"/>
    <cellStyle name="Comma 8 3" xfId="467"/>
    <cellStyle name="Comma 9" xfId="468"/>
    <cellStyle name="Comma0" xfId="469"/>
    <cellStyle name="Comma0 - Style2" xfId="470"/>
    <cellStyle name="Comma0 - Style3" xfId="471"/>
    <cellStyle name="Comma0 - Style4" xfId="472"/>
    <cellStyle name="Comma0 - Style5" xfId="473"/>
    <cellStyle name="Comma0 - Style6" xfId="474"/>
    <cellStyle name="Comma0 - Style7" xfId="475"/>
    <cellStyle name="Comma1 - Style1" xfId="476"/>
    <cellStyle name="comma2" xfId="477"/>
    <cellStyle name="Copied" xfId="478"/>
    <cellStyle name="Curren - Style2" xfId="479"/>
    <cellStyle name="Curren - Style4" xfId="480"/>
    <cellStyle name="Curren - Style5" xfId="481"/>
    <cellStyle name="Curren - Style6" xfId="482"/>
    <cellStyle name="Curren - Style8" xfId="483"/>
    <cellStyle name="Currency [0.00]" xfId="484"/>
    <cellStyle name="Currency 2" xfId="485"/>
    <cellStyle name="Currency 2 2" xfId="486"/>
    <cellStyle name="Currency 2 5 2" xfId="487"/>
    <cellStyle name="Currency 23 2" xfId="488"/>
    <cellStyle name="Currency 3" xfId="489"/>
    <cellStyle name="Currency 3 13 18" xfId="490"/>
    <cellStyle name="Currency0" xfId="491"/>
    <cellStyle name="d_yield" xfId="492"/>
    <cellStyle name="d_yield_Sheet1" xfId="493"/>
    <cellStyle name="Dash" xfId="494"/>
    <cellStyle name="Dash 2" xfId="495"/>
    <cellStyle name="data" xfId="496"/>
    <cellStyle name="Date" xfId="497"/>
    <cellStyle name="Date - Style1" xfId="498"/>
    <cellStyle name="Date - Style2" xfId="499"/>
    <cellStyle name="Date - Style3" xfId="500"/>
    <cellStyle name="Date - Style4" xfId="501"/>
    <cellStyle name="Date - Style5" xfId="502"/>
    <cellStyle name="date_Genpact International Derivatives_March 08" xfId="503"/>
    <cellStyle name="datetime" xfId="504"/>
    <cellStyle name="DE-SELECT" xfId="505"/>
    <cellStyle name="Dezimal__Utopia Index Index und Guidance (Deutsch)" xfId="506"/>
    <cellStyle name="Entered" xfId="507"/>
    <cellStyle name="eps" xfId="508"/>
    <cellStyle name="eps$" xfId="509"/>
    <cellStyle name="eps$A" xfId="510"/>
    <cellStyle name="eps$E" xfId="511"/>
    <cellStyle name="eps_2nd Quarter" xfId="512"/>
    <cellStyle name="epsA" xfId="513"/>
    <cellStyle name="epsE" xfId="514"/>
    <cellStyle name="Euro" xfId="515"/>
    <cellStyle name="Fixed" xfId="516"/>
    <cellStyle name="Fixed3 - Style3" xfId="517"/>
    <cellStyle name="Fixed4 - Style4" xfId="518"/>
    <cellStyle name="FOOTER - Style1" xfId="519"/>
    <cellStyle name="fy_eps$" xfId="520"/>
    <cellStyle name="g_rate" xfId="521"/>
    <cellStyle name="g_rate_Sheet1" xfId="522"/>
    <cellStyle name="GAR" xfId="523"/>
    <cellStyle name="Good 2" xfId="524"/>
    <cellStyle name="Good 2 2" xfId="525"/>
    <cellStyle name="Grey" xfId="526"/>
    <cellStyle name="Grey 2" xfId="527"/>
    <cellStyle name="Header" xfId="528"/>
    <cellStyle name="Header1" xfId="529"/>
    <cellStyle name="Header2" xfId="530"/>
    <cellStyle name="Headin - Style6" xfId="531"/>
    <cellStyle name="Hi Lite" xfId="532"/>
    <cellStyle name="HiLite" xfId="533"/>
    <cellStyle name="Hyperlink" xfId="2" builtinId="8"/>
    <cellStyle name="Hyperlink 2" xfId="534"/>
    <cellStyle name="Hyperlink 3 2" xfId="535"/>
    <cellStyle name="Hyperlink 6" xfId="536"/>
    <cellStyle name="Input [yellow]" xfId="537"/>
    <cellStyle name="Input [yellow] 2" xfId="538"/>
    <cellStyle name="InputBlueFont" xfId="539"/>
    <cellStyle name="KPMG Heading 1" xfId="540"/>
    <cellStyle name="KPMG Heading 2" xfId="541"/>
    <cellStyle name="KPMG Heading 3" xfId="542"/>
    <cellStyle name="KPMG Heading 4" xfId="543"/>
    <cellStyle name="KPMG Normal" xfId="544"/>
    <cellStyle name="KPMG Normal Text" xfId="545"/>
    <cellStyle name="label" xfId="546"/>
    <cellStyle name="Line Item" xfId="547"/>
    <cellStyle name="LOCKED" xfId="548"/>
    <cellStyle name="m" xfId="549"/>
    <cellStyle name="m$" xfId="550"/>
    <cellStyle name="main_input" xfId="551"/>
    <cellStyle name="Map Labels" xfId="552"/>
    <cellStyle name="Map Labels 2" xfId="553"/>
    <cellStyle name="Map Legend" xfId="554"/>
    <cellStyle name="Map Legend 2" xfId="555"/>
    <cellStyle name="Map Title" xfId="556"/>
    <cellStyle name="mm" xfId="557"/>
    <cellStyle name="Next holiday" xfId="558"/>
    <cellStyle name="no dec" xfId="559"/>
    <cellStyle name="Nor}al" xfId="560"/>
    <cellStyle name="Nor}al 2" xfId="561"/>
    <cellStyle name="Nor}al 2 2" xfId="562"/>
    <cellStyle name="Nor}al 3" xfId="563"/>
    <cellStyle name="Norm੎੎" xfId="564"/>
    <cellStyle name="Normal" xfId="0" builtinId="0"/>
    <cellStyle name="Normal - Style1" xfId="565"/>
    <cellStyle name="Normal - Style1 2" xfId="566"/>
    <cellStyle name="Normal - Style1 2 2" xfId="567"/>
    <cellStyle name="Normal - Style1 3" xfId="568"/>
    <cellStyle name="Normal - Style1 4" xfId="569"/>
    <cellStyle name="Normal 10" xfId="570"/>
    <cellStyle name="Normal 10 10" xfId="571"/>
    <cellStyle name="Normal 10 10 2" xfId="572"/>
    <cellStyle name="Normal 10 10 2 2" xfId="3"/>
    <cellStyle name="Normal 10 2" xfId="4"/>
    <cellStyle name="Normal 10 31 2" xfId="573"/>
    <cellStyle name="Normal 10 4" xfId="574"/>
    <cellStyle name="Normal 10 4 2" xfId="575"/>
    <cellStyle name="Normal 103" xfId="576"/>
    <cellStyle name="Normal 11" xfId="577"/>
    <cellStyle name="Normal 11 2" xfId="8"/>
    <cellStyle name="Normal 11 2 2" xfId="12"/>
    <cellStyle name="Normal 11 2 2 2" xfId="578"/>
    <cellStyle name="Normal 11 2 3" xfId="579"/>
    <cellStyle name="Normal 11 2 3 2" xfId="580"/>
    <cellStyle name="Normal 11 5" xfId="581"/>
    <cellStyle name="Normal 11 5 2" xfId="582"/>
    <cellStyle name="Normal 112" xfId="583"/>
    <cellStyle name="Normal 113" xfId="584"/>
    <cellStyle name="Normal 114" xfId="585"/>
    <cellStyle name="Normal 114 2" xfId="586"/>
    <cellStyle name="Normal 12" xfId="587"/>
    <cellStyle name="Normal 128" xfId="588"/>
    <cellStyle name="Normal 13" xfId="11"/>
    <cellStyle name="Normal 13 2" xfId="589"/>
    <cellStyle name="Normal 2" xfId="1"/>
    <cellStyle name="Normal 2 10" xfId="590"/>
    <cellStyle name="Normal 2 13 2" xfId="591"/>
    <cellStyle name="Normal 2 132 2" xfId="592"/>
    <cellStyle name="Normal 2 136" xfId="593"/>
    <cellStyle name="Normal 2 136 2" xfId="594"/>
    <cellStyle name="Normal 2 14" xfId="595"/>
    <cellStyle name="Normal 2 2" xfId="596"/>
    <cellStyle name="Normal 2 2 2" xfId="597"/>
    <cellStyle name="Normal 2 2 2 17 2" xfId="598"/>
    <cellStyle name="Normal 2 2 3" xfId="599"/>
    <cellStyle name="Normal 2 3" xfId="600"/>
    <cellStyle name="Normal 2 44" xfId="601"/>
    <cellStyle name="Normal 2 54" xfId="602"/>
    <cellStyle name="Normal 2 60" xfId="603"/>
    <cellStyle name="Normal 2 60 2" xfId="604"/>
    <cellStyle name="Normal 2 64" xfId="605"/>
    <cellStyle name="Normal 2 68" xfId="606"/>
    <cellStyle name="Normal 2 69" xfId="607"/>
    <cellStyle name="Normal 2 77" xfId="608"/>
    <cellStyle name="Normal 215" xfId="609"/>
    <cellStyle name="Normal 217" xfId="610"/>
    <cellStyle name="Normal 258" xfId="611"/>
    <cellStyle name="Normal 3" xfId="612"/>
    <cellStyle name="Normal 3 25" xfId="613"/>
    <cellStyle name="Normal 3 25 2" xfId="614"/>
    <cellStyle name="Normal 3 26" xfId="615"/>
    <cellStyle name="Normal 3 26 2" xfId="616"/>
    <cellStyle name="Normal 3 3" xfId="617"/>
    <cellStyle name="Normal 3 78" xfId="618"/>
    <cellStyle name="Normal 4" xfId="619"/>
    <cellStyle name="Normal 4 3 2 2" xfId="620"/>
    <cellStyle name="Normal 5" xfId="621"/>
    <cellStyle name="Normal 5 2" xfId="7"/>
    <cellStyle name="Normal 5 51" xfId="622"/>
    <cellStyle name="Normal 6" xfId="623"/>
    <cellStyle name="Normal 6 2" xfId="624"/>
    <cellStyle name="Normal 6 53" xfId="625"/>
    <cellStyle name="Normal 7" xfId="626"/>
    <cellStyle name="Normal 7 107" xfId="627"/>
    <cellStyle name="Normal 7 107 2" xfId="628"/>
    <cellStyle name="Normal 8" xfId="629"/>
    <cellStyle name="Normal 9" xfId="630"/>
    <cellStyle name="Normal 91 2" xfId="631"/>
    <cellStyle name="Normal 91 5" xfId="632"/>
    <cellStyle name="Normal 92" xfId="633"/>
    <cellStyle name="Normal 92 2 2" xfId="634"/>
    <cellStyle name="Normal 92 2 3 2" xfId="635"/>
    <cellStyle name="Normal 92 2 3 2 2" xfId="636"/>
    <cellStyle name="Normal 92 2 4" xfId="637"/>
    <cellStyle name="Normal 92 3" xfId="638"/>
    <cellStyle name="Normal 92 3 2" xfId="639"/>
    <cellStyle name="Normal 92 4 2" xfId="640"/>
    <cellStyle name="Normal 92 5" xfId="641"/>
    <cellStyle name="Normal 92 6 3" xfId="642"/>
    <cellStyle name="Note 2" xfId="643"/>
    <cellStyle name="Note 2 2" xfId="644"/>
    <cellStyle name="Note 3" xfId="645"/>
    <cellStyle name="Number" xfId="646"/>
    <cellStyle name="Output Amounts" xfId="647"/>
    <cellStyle name="Output Column Headings" xfId="648"/>
    <cellStyle name="Output Line Items" xfId="649"/>
    <cellStyle name="Output1_Back" xfId="650"/>
    <cellStyle name="Page Heading" xfId="651"/>
    <cellStyle name="pe" xfId="652"/>
    <cellStyle name="PEG" xfId="653"/>
    <cellStyle name="Percen - Style1" xfId="654"/>
    <cellStyle name="Percen - Style2" xfId="655"/>
    <cellStyle name="Percen - Style3" xfId="656"/>
    <cellStyle name="Percent [2]" xfId="657"/>
    <cellStyle name="Percent [2] 2" xfId="658"/>
    <cellStyle name="Percent [2] 2 2" xfId="659"/>
    <cellStyle name="Percent [2] 3" xfId="660"/>
    <cellStyle name="Percent [2] 4" xfId="661"/>
    <cellStyle name="Percent 10" xfId="662"/>
    <cellStyle name="Percent 10 2" xfId="663"/>
    <cellStyle name="Percent 11" xfId="664"/>
    <cellStyle name="Percent 11 2" xfId="665"/>
    <cellStyle name="Percent 12" xfId="666"/>
    <cellStyle name="Percent 13" xfId="667"/>
    <cellStyle name="Percent 13 2" xfId="668"/>
    <cellStyle name="Percent 14" xfId="669"/>
    <cellStyle name="Percent 15" xfId="670"/>
    <cellStyle name="Percent 16" xfId="9"/>
    <cellStyle name="Percent 18" xfId="671"/>
    <cellStyle name="Percent 18 2" xfId="672"/>
    <cellStyle name="Percent 2" xfId="6"/>
    <cellStyle name="Percent 2 2" xfId="673"/>
    <cellStyle name="Percent 2 3" xfId="674"/>
    <cellStyle name="Percent 2 5" xfId="675"/>
    <cellStyle name="Percent 2 6" xfId="676"/>
    <cellStyle name="Percent 21" xfId="677"/>
    <cellStyle name="Percent 21 2" xfId="678"/>
    <cellStyle name="Percent 3" xfId="679"/>
    <cellStyle name="Percent 32" xfId="680"/>
    <cellStyle name="Percent 4" xfId="681"/>
    <cellStyle name="Percent 5" xfId="682"/>
    <cellStyle name="Percent 6" xfId="683"/>
    <cellStyle name="Percent 6 2" xfId="10"/>
    <cellStyle name="Percent 7" xfId="684"/>
    <cellStyle name="Percent 8" xfId="685"/>
    <cellStyle name="Percent 8 2" xfId="686"/>
    <cellStyle name="Percent 9" xfId="687"/>
    <cellStyle name="Percent 9 2" xfId="688"/>
    <cellStyle name="price" xfId="689"/>
    <cellStyle name="PSChar" xfId="690"/>
    <cellStyle name="PSDate" xfId="691"/>
    <cellStyle name="PSDec" xfId="692"/>
    <cellStyle name="PSHeading" xfId="693"/>
    <cellStyle name="q" xfId="694"/>
    <cellStyle name="q_Sheet1" xfId="695"/>
    <cellStyle name="QEPS-h" xfId="696"/>
    <cellStyle name="QEPS-H1" xfId="697"/>
    <cellStyle name="qRange" xfId="698"/>
    <cellStyle name="range" xfId="699"/>
    <cellStyle name="Rates" xfId="700"/>
    <cellStyle name="realtime" xfId="701"/>
    <cellStyle name="REMOVED" xfId="702"/>
    <cellStyle name="result" xfId="703"/>
    <cellStyle name="RevList" xfId="704"/>
    <cellStyle name="rt" xfId="705"/>
    <cellStyle name="s" xfId="706"/>
    <cellStyle name="s 2" xfId="707"/>
    <cellStyle name="s_Aing report" xfId="708"/>
    <cellStyle name="s_AR" xfId="709"/>
    <cellStyle name="s_Bal Sheets" xfId="710"/>
    <cellStyle name="s_Bal Sheets (2)" xfId="711"/>
    <cellStyle name="s_Bal Sheets (2) 2" xfId="712"/>
    <cellStyle name="s_Bal Sheets (2)_1" xfId="713"/>
    <cellStyle name="s_Bal Sheets (2)_1 2" xfId="714"/>
    <cellStyle name="s_Bal Sheets (2)_1_Aing report" xfId="715"/>
    <cellStyle name="s_Bal Sheets (2)_1_AR" xfId="716"/>
    <cellStyle name="s_Bal Sheets (2)_1_Base HC" xfId="717"/>
    <cellStyle name="s_Bal Sheets (2)_1_Base P&amp;L" xfId="718"/>
    <cellStyle name="s_Bal Sheets (2)_1_Capex" xfId="719"/>
    <cellStyle name="s_Bal Sheets (2)_1_China as on Dec 31 2008" xfId="720"/>
    <cellStyle name="s_Bal Sheets (2)_1_Customer Details" xfId="721"/>
    <cellStyle name="s_Bal Sheets (2)_1_Eco Metrics" xfId="722"/>
    <cellStyle name="s_Bal Sheets (2)_1_GC001-China-Aug06" xfId="723"/>
    <cellStyle name="s_Bal Sheets (2)_1_GC001-China-July06" xfId="724"/>
    <cellStyle name="s_Bal Sheets (2)_1_GC001-China-Oct06" xfId="725"/>
    <cellStyle name="s_Bal Sheets (2)_1_Pipeline" xfId="726"/>
    <cellStyle name="s_Bal Sheets (2)_1_Pullbacks" xfId="727"/>
    <cellStyle name="s_Bal Sheets (2)_Aing report" xfId="728"/>
    <cellStyle name="s_Bal Sheets (2)_AR" xfId="729"/>
    <cellStyle name="s_Bal Sheets (2)_Base HC" xfId="730"/>
    <cellStyle name="s_Bal Sheets (2)_Base P&amp;L" xfId="731"/>
    <cellStyle name="s_Bal Sheets (2)_Capex" xfId="732"/>
    <cellStyle name="s_Bal Sheets (2)_China as on Dec 31 2008" xfId="733"/>
    <cellStyle name="s_Bal Sheets (2)_Customer Details" xfId="734"/>
    <cellStyle name="s_Bal Sheets (2)_Eco Metrics" xfId="735"/>
    <cellStyle name="s_Bal Sheets (2)_GC001-China-Aug06" xfId="736"/>
    <cellStyle name="s_Bal Sheets (2)_GC001-China-July06" xfId="737"/>
    <cellStyle name="s_Bal Sheets (2)_GC001-China-Oct06" xfId="738"/>
    <cellStyle name="s_Bal Sheets (2)_Pipeline" xfId="739"/>
    <cellStyle name="s_Bal Sheets (2)_Pullbacks" xfId="740"/>
    <cellStyle name="s_Bal Sheets 2" xfId="741"/>
    <cellStyle name="s_Bal Sheets 3" xfId="742"/>
    <cellStyle name="s_Bal Sheets 4" xfId="743"/>
    <cellStyle name="s_Bal Sheets 5" xfId="744"/>
    <cellStyle name="s_Bal Sheets_1" xfId="745"/>
    <cellStyle name="s_Bal Sheets_1 2" xfId="746"/>
    <cellStyle name="s_Bal Sheets_1_Aing report" xfId="747"/>
    <cellStyle name="s_Bal Sheets_1_AM0909" xfId="748"/>
    <cellStyle name="s_Bal Sheets_1_AM0909 2" xfId="749"/>
    <cellStyle name="s_Bal Sheets_1_AM0909_Aing report" xfId="750"/>
    <cellStyle name="s_Bal Sheets_1_AM0909_AR" xfId="751"/>
    <cellStyle name="s_Bal Sheets_1_AM0909_Base HC" xfId="752"/>
    <cellStyle name="s_Bal Sheets_1_AM0909_Base P&amp;L" xfId="753"/>
    <cellStyle name="s_Bal Sheets_1_AM0909_Capex" xfId="754"/>
    <cellStyle name="s_Bal Sheets_1_AM0909_China as on Dec 31 2008" xfId="755"/>
    <cellStyle name="s_Bal Sheets_1_AM0909_Customer Details" xfId="756"/>
    <cellStyle name="s_Bal Sheets_1_AM0909_Eco Metrics" xfId="757"/>
    <cellStyle name="s_Bal Sheets_1_AM0909_GC001-China-Aug06" xfId="758"/>
    <cellStyle name="s_Bal Sheets_1_AM0909_GC001-China-July06" xfId="759"/>
    <cellStyle name="s_Bal Sheets_1_AM0909_GC001-China-Oct06" xfId="760"/>
    <cellStyle name="s_Bal Sheets_1_AM0909_Pipeline" xfId="761"/>
    <cellStyle name="s_Bal Sheets_1_AM0909_Pullbacks" xfId="762"/>
    <cellStyle name="s_Bal Sheets_1_AR" xfId="763"/>
    <cellStyle name="s_Bal Sheets_1_Base HC" xfId="764"/>
    <cellStyle name="s_Bal Sheets_1_Base P&amp;L" xfId="765"/>
    <cellStyle name="s_Bal Sheets_1_Capex" xfId="766"/>
    <cellStyle name="s_Bal Sheets_1_China as on Dec 31 2008" xfId="767"/>
    <cellStyle name="s_Bal Sheets_1_Customer Details" xfId="768"/>
    <cellStyle name="s_Bal Sheets_1_Eco Metrics" xfId="769"/>
    <cellStyle name="s_Bal Sheets_1_GC001-China-Aug06" xfId="770"/>
    <cellStyle name="s_Bal Sheets_1_GC001-China-July06" xfId="771"/>
    <cellStyle name="s_Bal Sheets_1_GC001-China-Oct06" xfId="772"/>
    <cellStyle name="s_Bal Sheets_1_Pipeline" xfId="773"/>
    <cellStyle name="s_Bal Sheets_1_Pullbacks" xfId="774"/>
    <cellStyle name="s_Bal Sheets_2" xfId="775"/>
    <cellStyle name="s_Bal Sheets_2 2" xfId="776"/>
    <cellStyle name="s_Bal Sheets_2_Aing report" xfId="777"/>
    <cellStyle name="s_Bal Sheets_2_AR" xfId="778"/>
    <cellStyle name="s_Bal Sheets_2_Base HC" xfId="779"/>
    <cellStyle name="s_Bal Sheets_2_Base P&amp;L" xfId="780"/>
    <cellStyle name="s_Bal Sheets_2_Capex" xfId="781"/>
    <cellStyle name="s_Bal Sheets_2_China as on Dec 31 2008" xfId="782"/>
    <cellStyle name="s_Bal Sheets_2_Customer Details" xfId="783"/>
    <cellStyle name="s_Bal Sheets_2_Eco Metrics" xfId="784"/>
    <cellStyle name="s_Bal Sheets_2_GC001-China-Aug06" xfId="785"/>
    <cellStyle name="s_Bal Sheets_2_GC001-China-July06" xfId="786"/>
    <cellStyle name="s_Bal Sheets_2_GC001-China-Oct06" xfId="787"/>
    <cellStyle name="s_Bal Sheets_2_Pipeline" xfId="788"/>
    <cellStyle name="s_Bal Sheets_2_Pullbacks" xfId="789"/>
    <cellStyle name="s_Bal Sheets_Aing report" xfId="790"/>
    <cellStyle name="s_Bal Sheets_AM0909" xfId="791"/>
    <cellStyle name="s_Bal Sheets_AM0909 2" xfId="792"/>
    <cellStyle name="s_Bal Sheets_AM0909_Aing report" xfId="793"/>
    <cellStyle name="s_Bal Sheets_AM0909_AR" xfId="794"/>
    <cellStyle name="s_Bal Sheets_AM0909_Base HC" xfId="795"/>
    <cellStyle name="s_Bal Sheets_AM0909_Base P&amp;L" xfId="796"/>
    <cellStyle name="s_Bal Sheets_AM0909_Capex" xfId="797"/>
    <cellStyle name="s_Bal Sheets_AM0909_China as on Dec 31 2008" xfId="798"/>
    <cellStyle name="s_Bal Sheets_AM0909_Customer Details" xfId="799"/>
    <cellStyle name="s_Bal Sheets_AM0909_Eco Metrics" xfId="800"/>
    <cellStyle name="s_Bal Sheets_AM0909_GC001-China-Aug06" xfId="801"/>
    <cellStyle name="s_Bal Sheets_AM0909_GC001-China-July06" xfId="802"/>
    <cellStyle name="s_Bal Sheets_AM0909_GC001-China-Oct06" xfId="803"/>
    <cellStyle name="s_Bal Sheets_AM0909_Pipeline" xfId="804"/>
    <cellStyle name="s_Bal Sheets_AM0909_Pullbacks" xfId="805"/>
    <cellStyle name="s_Bal Sheets_AR" xfId="806"/>
    <cellStyle name="s_Bal Sheets_Base HC" xfId="807"/>
    <cellStyle name="s_Bal Sheets_Base P&amp;L" xfId="808"/>
    <cellStyle name="s_Bal Sheets_Capex" xfId="809"/>
    <cellStyle name="s_Bal Sheets_China as on Dec 31 2008" xfId="810"/>
    <cellStyle name="s_Bal Sheets_Customer Details" xfId="811"/>
    <cellStyle name="s_Bal Sheets_Eco Metrics" xfId="812"/>
    <cellStyle name="s_Bal Sheets_GC001-China-Aug06" xfId="813"/>
    <cellStyle name="s_Bal Sheets_GC001-China-July06" xfId="814"/>
    <cellStyle name="s_Bal Sheets_GC001-China-Oct06" xfId="815"/>
    <cellStyle name="s_Bal Sheets_Pipeline" xfId="816"/>
    <cellStyle name="s_Bal Sheets_Pullbacks" xfId="817"/>
    <cellStyle name="s_Base HC" xfId="818"/>
    <cellStyle name="s_Base P&amp;L" xfId="819"/>
    <cellStyle name="s_But813" xfId="820"/>
    <cellStyle name="s_But813 2" xfId="821"/>
    <cellStyle name="s_But813_Aing report" xfId="822"/>
    <cellStyle name="s_But813_AR" xfId="823"/>
    <cellStyle name="s_But813_Base HC" xfId="824"/>
    <cellStyle name="s_But813_Base P&amp;L" xfId="825"/>
    <cellStyle name="s_But813_Capex" xfId="826"/>
    <cellStyle name="s_But813_China as on Dec 31 2008" xfId="827"/>
    <cellStyle name="s_But813_Customer Details" xfId="828"/>
    <cellStyle name="s_But813_Eco Metrics" xfId="829"/>
    <cellStyle name="s_But813_GC001-China-Aug06" xfId="830"/>
    <cellStyle name="s_But813_GC001-China-July06" xfId="831"/>
    <cellStyle name="s_But813_GC001-China-Oct06" xfId="832"/>
    <cellStyle name="s_But813_Pipeline" xfId="833"/>
    <cellStyle name="s_But813_Pullbacks" xfId="834"/>
    <cellStyle name="s_But925" xfId="835"/>
    <cellStyle name="s_But925 2" xfId="836"/>
    <cellStyle name="s_But925_Aing report" xfId="837"/>
    <cellStyle name="s_But925_AR" xfId="838"/>
    <cellStyle name="s_But925_Base HC" xfId="839"/>
    <cellStyle name="s_But925_Base P&amp;L" xfId="840"/>
    <cellStyle name="s_But925_Capex" xfId="841"/>
    <cellStyle name="s_But925_China as on Dec 31 2008" xfId="842"/>
    <cellStyle name="s_But925_Customer Details" xfId="843"/>
    <cellStyle name="s_But925_Eco Metrics" xfId="844"/>
    <cellStyle name="s_But925_GC001-China-Aug06" xfId="845"/>
    <cellStyle name="s_But925_GC001-China-July06" xfId="846"/>
    <cellStyle name="s_But925_GC001-China-Oct06" xfId="847"/>
    <cellStyle name="s_But925_Pipeline" xfId="848"/>
    <cellStyle name="s_But925_Pullbacks" xfId="849"/>
    <cellStyle name="s_Capex" xfId="850"/>
    <cellStyle name="s_Cases" xfId="851"/>
    <cellStyle name="s_Cases 2" xfId="852"/>
    <cellStyle name="s_Cases_1" xfId="853"/>
    <cellStyle name="s_Cases_1 2" xfId="854"/>
    <cellStyle name="s_Cases_1_Aing report" xfId="855"/>
    <cellStyle name="s_Cases_1_AR" xfId="856"/>
    <cellStyle name="s_Cases_1_Base HC" xfId="857"/>
    <cellStyle name="s_Cases_1_Base P&amp;L" xfId="858"/>
    <cellStyle name="s_Cases_1_Capex" xfId="859"/>
    <cellStyle name="s_Cases_1_China as on Dec 31 2008" xfId="860"/>
    <cellStyle name="s_Cases_1_Customer Details" xfId="861"/>
    <cellStyle name="s_Cases_1_Eco Metrics" xfId="862"/>
    <cellStyle name="s_Cases_1_GC001-China-Aug06" xfId="863"/>
    <cellStyle name="s_Cases_1_GC001-China-July06" xfId="864"/>
    <cellStyle name="s_Cases_1_GC001-China-Oct06" xfId="865"/>
    <cellStyle name="s_Cases_1_Pipeline" xfId="866"/>
    <cellStyle name="s_Cases_1_Pullbacks" xfId="867"/>
    <cellStyle name="s_Cases_2" xfId="868"/>
    <cellStyle name="s_Cases_2 2" xfId="869"/>
    <cellStyle name="s_Cases_2_Aing report" xfId="870"/>
    <cellStyle name="s_Cases_2_AR" xfId="871"/>
    <cellStyle name="s_Cases_2_Base HC" xfId="872"/>
    <cellStyle name="s_Cases_2_Base P&amp;L" xfId="873"/>
    <cellStyle name="s_Cases_2_Capex" xfId="874"/>
    <cellStyle name="s_Cases_2_China as on Dec 31 2008" xfId="875"/>
    <cellStyle name="s_Cases_2_Customer Details" xfId="876"/>
    <cellStyle name="s_Cases_2_Eco Metrics" xfId="877"/>
    <cellStyle name="s_Cases_2_GC001-China-Aug06" xfId="878"/>
    <cellStyle name="s_Cases_2_GC001-China-July06" xfId="879"/>
    <cellStyle name="s_Cases_2_GC001-China-Oct06" xfId="880"/>
    <cellStyle name="s_Cases_2_Pipeline" xfId="881"/>
    <cellStyle name="s_Cases_2_Pullbacks" xfId="882"/>
    <cellStyle name="s_Cases_Aing report" xfId="883"/>
    <cellStyle name="s_Cases_AM0909" xfId="884"/>
    <cellStyle name="s_Cases_AM0909 2" xfId="885"/>
    <cellStyle name="s_Cases_AM0909_Aing report" xfId="886"/>
    <cellStyle name="s_Cases_AM0909_AR" xfId="887"/>
    <cellStyle name="s_Cases_AM0909_Base HC" xfId="888"/>
    <cellStyle name="s_Cases_AM0909_Base P&amp;L" xfId="889"/>
    <cellStyle name="s_Cases_AM0909_Capex" xfId="890"/>
    <cellStyle name="s_Cases_AM0909_China as on Dec 31 2008" xfId="891"/>
    <cellStyle name="s_Cases_AM0909_Customer Details" xfId="892"/>
    <cellStyle name="s_Cases_AM0909_Eco Metrics" xfId="893"/>
    <cellStyle name="s_Cases_AM0909_GC001-China-Aug06" xfId="894"/>
    <cellStyle name="s_Cases_AM0909_GC001-China-July06" xfId="895"/>
    <cellStyle name="s_Cases_AM0909_GC001-China-Oct06" xfId="896"/>
    <cellStyle name="s_Cases_AM0909_Pipeline" xfId="897"/>
    <cellStyle name="s_Cases_AM0909_Pullbacks" xfId="898"/>
    <cellStyle name="s_Cases_AR" xfId="899"/>
    <cellStyle name="s_Cases_Base HC" xfId="900"/>
    <cellStyle name="s_Cases_Base P&amp;L" xfId="901"/>
    <cellStyle name="s_Cases_Capex" xfId="902"/>
    <cellStyle name="s_Cases_China as on Dec 31 2008" xfId="903"/>
    <cellStyle name="s_Cases_Customer Details" xfId="904"/>
    <cellStyle name="s_Cases_Eco Metrics" xfId="905"/>
    <cellStyle name="s_Cases_GC001-China-Aug06" xfId="906"/>
    <cellStyle name="s_Cases_GC001-China-July06" xfId="907"/>
    <cellStyle name="s_Cases_GC001-China-Oct06" xfId="908"/>
    <cellStyle name="s_Cases_Pipeline" xfId="909"/>
    <cellStyle name="s_Cases_Pullbacks" xfId="910"/>
    <cellStyle name="s_Caterpillar" xfId="911"/>
    <cellStyle name="s_Caterpillar 2" xfId="912"/>
    <cellStyle name="s_Caterpillar_Aing report" xfId="913"/>
    <cellStyle name="s_Caterpillar_AR" xfId="914"/>
    <cellStyle name="s_Caterpillar_Base HC" xfId="915"/>
    <cellStyle name="s_Caterpillar_Base P&amp;L" xfId="916"/>
    <cellStyle name="s_Caterpillar_Capex" xfId="917"/>
    <cellStyle name="s_Caterpillar_China as on Dec 31 2008" xfId="918"/>
    <cellStyle name="s_Caterpillar_Customer Details" xfId="919"/>
    <cellStyle name="s_Caterpillar_Eco Metrics" xfId="920"/>
    <cellStyle name="s_Caterpillar_GC001-China-Aug06" xfId="921"/>
    <cellStyle name="s_Caterpillar_GC001-China-July06" xfId="922"/>
    <cellStyle name="s_Caterpillar_GC001-China-Oct06" xfId="923"/>
    <cellStyle name="s_Caterpillar_Pipeline" xfId="924"/>
    <cellStyle name="s_Caterpillar_Pullbacks" xfId="925"/>
    <cellStyle name="s_China as on Dec 31 2008" xfId="926"/>
    <cellStyle name="s_Credit (2)" xfId="927"/>
    <cellStyle name="s_Credit (2) 2" xfId="928"/>
    <cellStyle name="s_Credit (2)_1" xfId="929"/>
    <cellStyle name="s_Credit (2)_1 2" xfId="930"/>
    <cellStyle name="s_Credit (2)_1_Aing report" xfId="931"/>
    <cellStyle name="s_Credit (2)_1_AR" xfId="932"/>
    <cellStyle name="s_Credit (2)_1_Base HC" xfId="933"/>
    <cellStyle name="s_Credit (2)_1_Base P&amp;L" xfId="934"/>
    <cellStyle name="s_Credit (2)_1_Capex" xfId="935"/>
    <cellStyle name="s_Credit (2)_1_China as on Dec 31 2008" xfId="936"/>
    <cellStyle name="s_Credit (2)_1_Customer Details" xfId="937"/>
    <cellStyle name="s_Credit (2)_1_Eco Metrics" xfId="938"/>
    <cellStyle name="s_Credit (2)_1_GC001-China-Aug06" xfId="939"/>
    <cellStyle name="s_Credit (2)_1_GC001-China-July06" xfId="940"/>
    <cellStyle name="s_Credit (2)_1_GC001-China-Oct06" xfId="941"/>
    <cellStyle name="s_Credit (2)_1_Pipeline" xfId="942"/>
    <cellStyle name="s_Credit (2)_1_Pullbacks" xfId="943"/>
    <cellStyle name="s_Credit (2)_2" xfId="944"/>
    <cellStyle name="s_Credit (2)_2 2" xfId="945"/>
    <cellStyle name="s_Credit (2)_2_Aing report" xfId="946"/>
    <cellStyle name="s_Credit (2)_2_AR" xfId="947"/>
    <cellStyle name="s_Credit (2)_2_Base HC" xfId="948"/>
    <cellStyle name="s_Credit (2)_2_Base P&amp;L" xfId="949"/>
    <cellStyle name="s_Credit (2)_2_Capex" xfId="950"/>
    <cellStyle name="s_Credit (2)_2_China as on Dec 31 2008" xfId="951"/>
    <cellStyle name="s_Credit (2)_2_Customer Details" xfId="952"/>
    <cellStyle name="s_Credit (2)_2_Eco Metrics" xfId="953"/>
    <cellStyle name="s_Credit (2)_2_GC001-China-Aug06" xfId="954"/>
    <cellStyle name="s_Credit (2)_2_GC001-China-July06" xfId="955"/>
    <cellStyle name="s_Credit (2)_2_GC001-China-Oct06" xfId="956"/>
    <cellStyle name="s_Credit (2)_2_Pipeline" xfId="957"/>
    <cellStyle name="s_Credit (2)_2_Pullbacks" xfId="958"/>
    <cellStyle name="s_Credit (2)_Aing report" xfId="959"/>
    <cellStyle name="s_Credit (2)_AR" xfId="960"/>
    <cellStyle name="s_Credit (2)_Base HC" xfId="961"/>
    <cellStyle name="s_Credit (2)_Base P&amp;L" xfId="962"/>
    <cellStyle name="s_Credit (2)_Capex" xfId="963"/>
    <cellStyle name="s_Credit (2)_China as on Dec 31 2008" xfId="964"/>
    <cellStyle name="s_Credit (2)_Customer Details" xfId="965"/>
    <cellStyle name="s_Credit (2)_Eco Metrics" xfId="966"/>
    <cellStyle name="s_Credit (2)_GC001-China-Aug06" xfId="967"/>
    <cellStyle name="s_Credit (2)_GC001-China-July06" xfId="968"/>
    <cellStyle name="s_Credit (2)_GC001-China-Oct06" xfId="969"/>
    <cellStyle name="s_Credit (2)_Pipeline" xfId="970"/>
    <cellStyle name="s_Credit (2)_Pullbacks" xfId="971"/>
    <cellStyle name="s_Credit Graph" xfId="972"/>
    <cellStyle name="s_Credit Graph 2" xfId="973"/>
    <cellStyle name="s_Credit Graph_1" xfId="974"/>
    <cellStyle name="s_Credit Graph_1 2" xfId="975"/>
    <cellStyle name="s_Credit Graph_1_Aing report" xfId="976"/>
    <cellStyle name="s_Credit Graph_1_AR" xfId="977"/>
    <cellStyle name="s_Credit Graph_1_Base HC" xfId="978"/>
    <cellStyle name="s_Credit Graph_1_Base P&amp;L" xfId="979"/>
    <cellStyle name="s_Credit Graph_1_Capex" xfId="980"/>
    <cellStyle name="s_Credit Graph_1_China as on Dec 31 2008" xfId="981"/>
    <cellStyle name="s_Credit Graph_1_Customer Details" xfId="982"/>
    <cellStyle name="s_Credit Graph_1_Eco Metrics" xfId="983"/>
    <cellStyle name="s_Credit Graph_1_GC001-China-Aug06" xfId="984"/>
    <cellStyle name="s_Credit Graph_1_GC001-China-July06" xfId="985"/>
    <cellStyle name="s_Credit Graph_1_GC001-China-Oct06" xfId="986"/>
    <cellStyle name="s_Credit Graph_1_Pipeline" xfId="987"/>
    <cellStyle name="s_Credit Graph_1_Pullbacks" xfId="988"/>
    <cellStyle name="s_Credit Graph_2" xfId="989"/>
    <cellStyle name="s_Credit Graph_2 2" xfId="990"/>
    <cellStyle name="s_Credit Graph_2_Aing report" xfId="991"/>
    <cellStyle name="s_Credit Graph_2_AR" xfId="992"/>
    <cellStyle name="s_Credit Graph_2_Base HC" xfId="993"/>
    <cellStyle name="s_Credit Graph_2_Base P&amp;L" xfId="994"/>
    <cellStyle name="s_Credit Graph_2_Capex" xfId="995"/>
    <cellStyle name="s_Credit Graph_2_China as on Dec 31 2008" xfId="996"/>
    <cellStyle name="s_Credit Graph_2_Customer Details" xfId="997"/>
    <cellStyle name="s_Credit Graph_2_Eco Metrics" xfId="998"/>
    <cellStyle name="s_Credit Graph_2_GC001-China-Aug06" xfId="999"/>
    <cellStyle name="s_Credit Graph_2_GC001-China-July06" xfId="1000"/>
    <cellStyle name="s_Credit Graph_2_GC001-China-Oct06" xfId="1001"/>
    <cellStyle name="s_Credit Graph_2_Pipeline" xfId="1002"/>
    <cellStyle name="s_Credit Graph_2_Pullbacks" xfId="1003"/>
    <cellStyle name="s_Credit Graph_Aing report" xfId="1004"/>
    <cellStyle name="s_Credit Graph_AR" xfId="1005"/>
    <cellStyle name="s_Credit Graph_Base HC" xfId="1006"/>
    <cellStyle name="s_Credit Graph_Base P&amp;L" xfId="1007"/>
    <cellStyle name="s_Credit Graph_Capex" xfId="1008"/>
    <cellStyle name="s_Credit Graph_China as on Dec 31 2008" xfId="1009"/>
    <cellStyle name="s_Credit Graph_Customer Details" xfId="1010"/>
    <cellStyle name="s_Credit Graph_Eco Metrics" xfId="1011"/>
    <cellStyle name="s_Credit Graph_GC001-China-Aug06" xfId="1012"/>
    <cellStyle name="s_Credit Graph_GC001-China-July06" xfId="1013"/>
    <cellStyle name="s_Credit Graph_GC001-China-Oct06" xfId="1014"/>
    <cellStyle name="s_Credit Graph_Pipeline" xfId="1015"/>
    <cellStyle name="s_Credit Graph_Pullbacks" xfId="1016"/>
    <cellStyle name="s_Customer Details" xfId="1017"/>
    <cellStyle name="s_DCF" xfId="1018"/>
    <cellStyle name="s_DCF 2" xfId="1019"/>
    <cellStyle name="s_DCF Inputs" xfId="1020"/>
    <cellStyle name="s_DCF Inputs 2" xfId="1021"/>
    <cellStyle name="s_DCF Inputs_1" xfId="1022"/>
    <cellStyle name="s_DCF Inputs_1 2" xfId="1023"/>
    <cellStyle name="s_DCF Inputs_1_Aing report" xfId="1024"/>
    <cellStyle name="s_DCF Inputs_1_AR" xfId="1025"/>
    <cellStyle name="s_DCF Inputs_1_Base HC" xfId="1026"/>
    <cellStyle name="s_DCF Inputs_1_Base P&amp;L" xfId="1027"/>
    <cellStyle name="s_DCF Inputs_1_Capex" xfId="1028"/>
    <cellStyle name="s_DCF Inputs_1_China as on Dec 31 2008" xfId="1029"/>
    <cellStyle name="s_DCF Inputs_1_Customer Details" xfId="1030"/>
    <cellStyle name="s_DCF Inputs_1_Eco Metrics" xfId="1031"/>
    <cellStyle name="s_DCF Inputs_1_GC001-China-Aug06" xfId="1032"/>
    <cellStyle name="s_DCF Inputs_1_GC001-China-July06" xfId="1033"/>
    <cellStyle name="s_DCF Inputs_1_GC001-China-Oct06" xfId="1034"/>
    <cellStyle name="s_DCF Inputs_1_Pipeline" xfId="1035"/>
    <cellStyle name="s_DCF Inputs_1_Pullbacks" xfId="1036"/>
    <cellStyle name="s_DCF Inputs_2" xfId="1037"/>
    <cellStyle name="s_DCF Inputs_2 2" xfId="1038"/>
    <cellStyle name="s_DCF Inputs_2_Aing report" xfId="1039"/>
    <cellStyle name="s_DCF Inputs_2_AR" xfId="1040"/>
    <cellStyle name="s_DCF Inputs_2_Base HC" xfId="1041"/>
    <cellStyle name="s_DCF Inputs_2_Base P&amp;L" xfId="1042"/>
    <cellStyle name="s_DCF Inputs_2_Capex" xfId="1043"/>
    <cellStyle name="s_DCF Inputs_2_China as on Dec 31 2008" xfId="1044"/>
    <cellStyle name="s_DCF Inputs_2_Customer Details" xfId="1045"/>
    <cellStyle name="s_DCF Inputs_2_Eco Metrics" xfId="1046"/>
    <cellStyle name="s_DCF Inputs_2_GC001-China-Aug06" xfId="1047"/>
    <cellStyle name="s_DCF Inputs_2_GC001-China-July06" xfId="1048"/>
    <cellStyle name="s_DCF Inputs_2_GC001-China-Oct06" xfId="1049"/>
    <cellStyle name="s_DCF Inputs_2_Pipeline" xfId="1050"/>
    <cellStyle name="s_DCF Inputs_2_Pullbacks" xfId="1051"/>
    <cellStyle name="s_DCF Inputs_Aing report" xfId="1052"/>
    <cellStyle name="s_DCF Inputs_AM0909" xfId="1053"/>
    <cellStyle name="s_DCF Inputs_AM0909 2" xfId="1054"/>
    <cellStyle name="s_DCF Inputs_AM0909_Aing report" xfId="1055"/>
    <cellStyle name="s_DCF Inputs_AM0909_AR" xfId="1056"/>
    <cellStyle name="s_DCF Inputs_AM0909_Base HC" xfId="1057"/>
    <cellStyle name="s_DCF Inputs_AM0909_Base P&amp;L" xfId="1058"/>
    <cellStyle name="s_DCF Inputs_AM0909_Capex" xfId="1059"/>
    <cellStyle name="s_DCF Inputs_AM0909_China as on Dec 31 2008" xfId="1060"/>
    <cellStyle name="s_DCF Inputs_AM0909_Customer Details" xfId="1061"/>
    <cellStyle name="s_DCF Inputs_AM0909_Eco Metrics" xfId="1062"/>
    <cellStyle name="s_DCF Inputs_AM0909_GC001-China-Aug06" xfId="1063"/>
    <cellStyle name="s_DCF Inputs_AM0909_GC001-China-July06" xfId="1064"/>
    <cellStyle name="s_DCF Inputs_AM0909_GC001-China-Oct06" xfId="1065"/>
    <cellStyle name="s_DCF Inputs_AM0909_Pipeline" xfId="1066"/>
    <cellStyle name="s_DCF Inputs_AM0909_Pullbacks" xfId="1067"/>
    <cellStyle name="s_DCF Inputs_AR" xfId="1068"/>
    <cellStyle name="s_DCF Inputs_Base HC" xfId="1069"/>
    <cellStyle name="s_DCF Inputs_Base P&amp;L" xfId="1070"/>
    <cellStyle name="s_DCF Inputs_Capex" xfId="1071"/>
    <cellStyle name="s_DCF Inputs_China as on Dec 31 2008" xfId="1072"/>
    <cellStyle name="s_DCF Inputs_Customer Details" xfId="1073"/>
    <cellStyle name="s_DCF Inputs_Eco Metrics" xfId="1074"/>
    <cellStyle name="s_DCF Inputs_GC001-China-Aug06" xfId="1075"/>
    <cellStyle name="s_DCF Inputs_GC001-China-July06" xfId="1076"/>
    <cellStyle name="s_DCF Inputs_GC001-China-Oct06" xfId="1077"/>
    <cellStyle name="s_DCF Inputs_Pipeline" xfId="1078"/>
    <cellStyle name="s_DCF Inputs_Pullbacks" xfId="1079"/>
    <cellStyle name="s_DCF Matrix" xfId="1080"/>
    <cellStyle name="s_DCF Matrix 2" xfId="1081"/>
    <cellStyle name="s_DCF Matrix_1" xfId="1082"/>
    <cellStyle name="s_DCF Matrix_1 2" xfId="1083"/>
    <cellStyle name="s_DCF Matrix_1_Aing report" xfId="1084"/>
    <cellStyle name="s_DCF Matrix_1_AM0909" xfId="1085"/>
    <cellStyle name="s_DCF Matrix_1_AM0909 2" xfId="1086"/>
    <cellStyle name="s_DCF Matrix_1_AM0909_Aing report" xfId="1087"/>
    <cellStyle name="s_DCF Matrix_1_AM0909_AR" xfId="1088"/>
    <cellStyle name="s_DCF Matrix_1_AM0909_Base HC" xfId="1089"/>
    <cellStyle name="s_DCF Matrix_1_AM0909_Base P&amp;L" xfId="1090"/>
    <cellStyle name="s_DCF Matrix_1_AM0909_Capex" xfId="1091"/>
    <cellStyle name="s_DCF Matrix_1_AM0909_China as on Dec 31 2008" xfId="1092"/>
    <cellStyle name="s_DCF Matrix_1_AM0909_Customer Details" xfId="1093"/>
    <cellStyle name="s_DCF Matrix_1_AM0909_Eco Metrics" xfId="1094"/>
    <cellStyle name="s_DCF Matrix_1_AM0909_GC001-China-Aug06" xfId="1095"/>
    <cellStyle name="s_DCF Matrix_1_AM0909_GC001-China-July06" xfId="1096"/>
    <cellStyle name="s_DCF Matrix_1_AM0909_GC001-China-Oct06" xfId="1097"/>
    <cellStyle name="s_DCF Matrix_1_AM0909_Pipeline" xfId="1098"/>
    <cellStyle name="s_DCF Matrix_1_AM0909_Pullbacks" xfId="1099"/>
    <cellStyle name="s_DCF Matrix_1_AR" xfId="1100"/>
    <cellStyle name="s_DCF Matrix_1_Base HC" xfId="1101"/>
    <cellStyle name="s_DCF Matrix_1_Base P&amp;L" xfId="1102"/>
    <cellStyle name="s_DCF Matrix_1_Capex" xfId="1103"/>
    <cellStyle name="s_DCF Matrix_1_China as on Dec 31 2008" xfId="1104"/>
    <cellStyle name="s_DCF Matrix_1_Customer Details" xfId="1105"/>
    <cellStyle name="s_DCF Matrix_1_Eco Metrics" xfId="1106"/>
    <cellStyle name="s_DCF Matrix_1_GC001-China-Aug06" xfId="1107"/>
    <cellStyle name="s_DCF Matrix_1_GC001-China-July06" xfId="1108"/>
    <cellStyle name="s_DCF Matrix_1_GC001-China-Oct06" xfId="1109"/>
    <cellStyle name="s_DCF Matrix_1_IPO" xfId="1110"/>
    <cellStyle name="s_DCF Matrix_1_IPO 2" xfId="1111"/>
    <cellStyle name="s_DCF Matrix_1_IPO_Aing report" xfId="1112"/>
    <cellStyle name="s_DCF Matrix_1_IPO_AR" xfId="1113"/>
    <cellStyle name="s_DCF Matrix_1_IPO_Base HC" xfId="1114"/>
    <cellStyle name="s_DCF Matrix_1_IPO_Base P&amp;L" xfId="1115"/>
    <cellStyle name="s_DCF Matrix_1_IPO_Capex" xfId="1116"/>
    <cellStyle name="s_DCF Matrix_1_IPO_China as on Dec 31 2008" xfId="1117"/>
    <cellStyle name="s_DCF Matrix_1_IPO_Customer Details" xfId="1118"/>
    <cellStyle name="s_DCF Matrix_1_IPO_Eco Metrics" xfId="1119"/>
    <cellStyle name="s_DCF Matrix_1_IPO_GC001-China-Aug06" xfId="1120"/>
    <cellStyle name="s_DCF Matrix_1_IPO_GC001-China-July06" xfId="1121"/>
    <cellStyle name="s_DCF Matrix_1_IPO_GC001-China-Oct06" xfId="1122"/>
    <cellStyle name="s_DCF Matrix_1_IPO_Pipeline" xfId="1123"/>
    <cellStyle name="s_DCF Matrix_1_IPO_Pullbacks" xfId="1124"/>
    <cellStyle name="s_DCF Matrix_1_Pipeline" xfId="1125"/>
    <cellStyle name="s_DCF Matrix_1_Pullbacks" xfId="1126"/>
    <cellStyle name="s_DCF Matrix_2" xfId="1127"/>
    <cellStyle name="s_DCF Matrix_2 2" xfId="1128"/>
    <cellStyle name="s_DCF Matrix_2_Aing report" xfId="1129"/>
    <cellStyle name="s_DCF Matrix_2_AM0909" xfId="1130"/>
    <cellStyle name="s_DCF Matrix_2_AM0909 2" xfId="1131"/>
    <cellStyle name="s_DCF Matrix_2_AM0909_Aing report" xfId="1132"/>
    <cellStyle name="s_DCF Matrix_2_AM0909_AR" xfId="1133"/>
    <cellStyle name="s_DCF Matrix_2_AM0909_Base HC" xfId="1134"/>
    <cellStyle name="s_DCF Matrix_2_AM0909_Base P&amp;L" xfId="1135"/>
    <cellStyle name="s_DCF Matrix_2_AM0909_Capex" xfId="1136"/>
    <cellStyle name="s_DCF Matrix_2_AM0909_China as on Dec 31 2008" xfId="1137"/>
    <cellStyle name="s_DCF Matrix_2_AM0909_Customer Details" xfId="1138"/>
    <cellStyle name="s_DCF Matrix_2_AM0909_Eco Metrics" xfId="1139"/>
    <cellStyle name="s_DCF Matrix_2_AM0909_GC001-China-Aug06" xfId="1140"/>
    <cellStyle name="s_DCF Matrix_2_AM0909_GC001-China-July06" xfId="1141"/>
    <cellStyle name="s_DCF Matrix_2_AM0909_GC001-China-Oct06" xfId="1142"/>
    <cellStyle name="s_DCF Matrix_2_AM0909_Pipeline" xfId="1143"/>
    <cellStyle name="s_DCF Matrix_2_AM0909_Pullbacks" xfId="1144"/>
    <cellStyle name="s_DCF Matrix_2_AR" xfId="1145"/>
    <cellStyle name="s_DCF Matrix_2_Base HC" xfId="1146"/>
    <cellStyle name="s_DCF Matrix_2_Base P&amp;L" xfId="1147"/>
    <cellStyle name="s_DCF Matrix_2_Capex" xfId="1148"/>
    <cellStyle name="s_DCF Matrix_2_China as on Dec 31 2008" xfId="1149"/>
    <cellStyle name="s_DCF Matrix_2_Customer Details" xfId="1150"/>
    <cellStyle name="s_DCF Matrix_2_Eco Metrics" xfId="1151"/>
    <cellStyle name="s_DCF Matrix_2_GC001-China-Aug06" xfId="1152"/>
    <cellStyle name="s_DCF Matrix_2_GC001-China-July06" xfId="1153"/>
    <cellStyle name="s_DCF Matrix_2_GC001-China-Oct06" xfId="1154"/>
    <cellStyle name="s_DCF Matrix_2_Pipeline" xfId="1155"/>
    <cellStyle name="s_DCF Matrix_2_Pullbacks" xfId="1156"/>
    <cellStyle name="s_DCF Matrix_Aing report" xfId="1157"/>
    <cellStyle name="s_DCF Matrix_AR" xfId="1158"/>
    <cellStyle name="s_DCF Matrix_Base HC" xfId="1159"/>
    <cellStyle name="s_DCF Matrix_Base P&amp;L" xfId="1160"/>
    <cellStyle name="s_DCF Matrix_Capex" xfId="1161"/>
    <cellStyle name="s_DCF Matrix_China as on Dec 31 2008" xfId="1162"/>
    <cellStyle name="s_DCF Matrix_Customer Details" xfId="1163"/>
    <cellStyle name="s_DCF Matrix_Eco Metrics" xfId="1164"/>
    <cellStyle name="s_DCF Matrix_GC001-China-Aug06" xfId="1165"/>
    <cellStyle name="s_DCF Matrix_GC001-China-July06" xfId="1166"/>
    <cellStyle name="s_DCF Matrix_GC001-China-Oct06" xfId="1167"/>
    <cellStyle name="s_DCF Matrix_IPO" xfId="1168"/>
    <cellStyle name="s_DCF Matrix_IPO 2" xfId="1169"/>
    <cellStyle name="s_DCF Matrix_IPO_Aing report" xfId="1170"/>
    <cellStyle name="s_DCF Matrix_IPO_AR" xfId="1171"/>
    <cellStyle name="s_DCF Matrix_IPO_Base HC" xfId="1172"/>
    <cellStyle name="s_DCF Matrix_IPO_Base P&amp;L" xfId="1173"/>
    <cellStyle name="s_DCF Matrix_IPO_Capex" xfId="1174"/>
    <cellStyle name="s_DCF Matrix_IPO_China as on Dec 31 2008" xfId="1175"/>
    <cellStyle name="s_DCF Matrix_IPO_Customer Details" xfId="1176"/>
    <cellStyle name="s_DCF Matrix_IPO_Eco Metrics" xfId="1177"/>
    <cellStyle name="s_DCF Matrix_IPO_GC001-China-Aug06" xfId="1178"/>
    <cellStyle name="s_DCF Matrix_IPO_GC001-China-July06" xfId="1179"/>
    <cellStyle name="s_DCF Matrix_IPO_GC001-China-Oct06" xfId="1180"/>
    <cellStyle name="s_DCF Matrix_IPO_Pipeline" xfId="1181"/>
    <cellStyle name="s_DCF Matrix_IPO_Pullbacks" xfId="1182"/>
    <cellStyle name="s_DCF Matrix_Pipeline" xfId="1183"/>
    <cellStyle name="s_DCF Matrix_Pullbacks" xfId="1184"/>
    <cellStyle name="s_DCF Matrix_REVISE24" xfId="1185"/>
    <cellStyle name="s_DCF Matrix_REVISE24 2" xfId="1186"/>
    <cellStyle name="s_DCF Matrix_REVISE24_Aing report" xfId="1187"/>
    <cellStyle name="s_DCF Matrix_REVISE24_AR" xfId="1188"/>
    <cellStyle name="s_DCF Matrix_REVISE24_Base HC" xfId="1189"/>
    <cellStyle name="s_DCF Matrix_REVISE24_Base P&amp;L" xfId="1190"/>
    <cellStyle name="s_DCF Matrix_REVISE24_Capex" xfId="1191"/>
    <cellStyle name="s_DCF Matrix_REVISE24_China as on Dec 31 2008" xfId="1192"/>
    <cellStyle name="s_DCF Matrix_REVISE24_Customer Details" xfId="1193"/>
    <cellStyle name="s_DCF Matrix_REVISE24_Eco Metrics" xfId="1194"/>
    <cellStyle name="s_DCF Matrix_REVISE24_GC001-China-Aug06" xfId="1195"/>
    <cellStyle name="s_DCF Matrix_REVISE24_GC001-China-July06" xfId="1196"/>
    <cellStyle name="s_DCF Matrix_REVISE24_GC001-China-Oct06" xfId="1197"/>
    <cellStyle name="s_DCF Matrix_REVISE24_Pipeline" xfId="1198"/>
    <cellStyle name="s_DCF Matrix_REVISE24_Pullbacks" xfId="1199"/>
    <cellStyle name="s_DCF_1" xfId="1200"/>
    <cellStyle name="s_DCF_1 2" xfId="1201"/>
    <cellStyle name="s_DCF_1_Aing report" xfId="1202"/>
    <cellStyle name="s_DCF_1_AR" xfId="1203"/>
    <cellStyle name="s_DCF_1_Base HC" xfId="1204"/>
    <cellStyle name="s_DCF_1_Base P&amp;L" xfId="1205"/>
    <cellStyle name="s_DCF_1_Capex" xfId="1206"/>
    <cellStyle name="s_DCF_1_China as on Dec 31 2008" xfId="1207"/>
    <cellStyle name="s_DCF_1_Customer Details" xfId="1208"/>
    <cellStyle name="s_DCF_1_Eco Metrics" xfId="1209"/>
    <cellStyle name="s_DCF_1_GC001-China-Aug06" xfId="1210"/>
    <cellStyle name="s_DCF_1_GC001-China-July06" xfId="1211"/>
    <cellStyle name="s_DCF_1_GC001-China-Oct06" xfId="1212"/>
    <cellStyle name="s_DCF_1_Pipeline" xfId="1213"/>
    <cellStyle name="s_DCF_1_Pullbacks" xfId="1214"/>
    <cellStyle name="s_DCF_2" xfId="1215"/>
    <cellStyle name="s_DCF_2 2" xfId="1216"/>
    <cellStyle name="s_DCF_2_Aing report" xfId="1217"/>
    <cellStyle name="s_DCF_2_AR" xfId="1218"/>
    <cellStyle name="s_DCF_2_Base HC" xfId="1219"/>
    <cellStyle name="s_DCF_2_Base P&amp;L" xfId="1220"/>
    <cellStyle name="s_DCF_2_Capex" xfId="1221"/>
    <cellStyle name="s_DCF_2_China as on Dec 31 2008" xfId="1222"/>
    <cellStyle name="s_DCF_2_Customer Details" xfId="1223"/>
    <cellStyle name="s_DCF_2_Eco Metrics" xfId="1224"/>
    <cellStyle name="s_DCF_2_GC001-China-Aug06" xfId="1225"/>
    <cellStyle name="s_DCF_2_GC001-China-July06" xfId="1226"/>
    <cellStyle name="s_DCF_2_GC001-China-Oct06" xfId="1227"/>
    <cellStyle name="s_DCF_2_Pipeline" xfId="1228"/>
    <cellStyle name="s_DCF_2_Pullbacks" xfId="1229"/>
    <cellStyle name="s_DCF_Aing report" xfId="1230"/>
    <cellStyle name="s_DCF_AR" xfId="1231"/>
    <cellStyle name="s_DCF_Base HC" xfId="1232"/>
    <cellStyle name="s_DCF_Base P&amp;L" xfId="1233"/>
    <cellStyle name="s_DCF_Capex" xfId="1234"/>
    <cellStyle name="s_DCF_China as on Dec 31 2008" xfId="1235"/>
    <cellStyle name="s_DCF_Customer Details" xfId="1236"/>
    <cellStyle name="s_DCF_Eco Metrics" xfId="1237"/>
    <cellStyle name="s_DCF_GC001-China-Aug06" xfId="1238"/>
    <cellStyle name="s_DCF_GC001-China-July06" xfId="1239"/>
    <cellStyle name="s_DCF_GC001-China-Oct06" xfId="1240"/>
    <cellStyle name="s_DCF_Pipeline" xfId="1241"/>
    <cellStyle name="s_DCF_Pullbacks" xfId="1242"/>
    <cellStyle name="s_DCFLBO Code" xfId="1243"/>
    <cellStyle name="s_DCFLBO Code 2" xfId="1244"/>
    <cellStyle name="s_DCFLBO Code_1" xfId="1245"/>
    <cellStyle name="s_DCFLBO Code_1 2" xfId="1246"/>
    <cellStyle name="s_DCFLBO Code_1_Aing report" xfId="1247"/>
    <cellStyle name="s_DCFLBO Code_1_AR" xfId="1248"/>
    <cellStyle name="s_DCFLBO Code_1_Base HC" xfId="1249"/>
    <cellStyle name="s_DCFLBO Code_1_Base P&amp;L" xfId="1250"/>
    <cellStyle name="s_DCFLBO Code_1_Capex" xfId="1251"/>
    <cellStyle name="s_DCFLBO Code_1_China as on Dec 31 2008" xfId="1252"/>
    <cellStyle name="s_DCFLBO Code_1_Customer Details" xfId="1253"/>
    <cellStyle name="s_DCFLBO Code_1_Eco Metrics" xfId="1254"/>
    <cellStyle name="s_DCFLBO Code_1_GC001-China-Aug06" xfId="1255"/>
    <cellStyle name="s_DCFLBO Code_1_GC001-China-July06" xfId="1256"/>
    <cellStyle name="s_DCFLBO Code_1_GC001-China-Oct06" xfId="1257"/>
    <cellStyle name="s_DCFLBO Code_1_Pipeline" xfId="1258"/>
    <cellStyle name="s_DCFLBO Code_1_Pullbacks" xfId="1259"/>
    <cellStyle name="s_DCFLBO Code_Aing report" xfId="1260"/>
    <cellStyle name="s_DCFLBO Code_AR" xfId="1261"/>
    <cellStyle name="s_DCFLBO Code_Base HC" xfId="1262"/>
    <cellStyle name="s_DCFLBO Code_Base P&amp;L" xfId="1263"/>
    <cellStyle name="s_DCFLBO Code_Capex" xfId="1264"/>
    <cellStyle name="s_DCFLBO Code_China as on Dec 31 2008" xfId="1265"/>
    <cellStyle name="s_DCFLBO Code_Customer Details" xfId="1266"/>
    <cellStyle name="s_DCFLBO Code_Eco Metrics" xfId="1267"/>
    <cellStyle name="s_DCFLBO Code_GC001-China-Aug06" xfId="1268"/>
    <cellStyle name="s_DCFLBO Code_GC001-China-July06" xfId="1269"/>
    <cellStyle name="s_DCFLBO Code_GC001-China-Oct06" xfId="1270"/>
    <cellStyle name="s_DCFLBO Code_Pipeline" xfId="1271"/>
    <cellStyle name="s_DCFLBO Code_Pullbacks" xfId="1272"/>
    <cellStyle name="s_Earnings" xfId="1273"/>
    <cellStyle name="s_Earnings (2)" xfId="1274"/>
    <cellStyle name="s_Earnings (2) 2" xfId="1275"/>
    <cellStyle name="s_Earnings (2)_1" xfId="1276"/>
    <cellStyle name="s_Earnings (2)_1 2" xfId="1277"/>
    <cellStyle name="s_Earnings (2)_1_Aing report" xfId="1278"/>
    <cellStyle name="s_Earnings (2)_1_AR" xfId="1279"/>
    <cellStyle name="s_Earnings (2)_1_Base HC" xfId="1280"/>
    <cellStyle name="s_Earnings (2)_1_Base P&amp;L" xfId="1281"/>
    <cellStyle name="s_Earnings (2)_1_Capex" xfId="1282"/>
    <cellStyle name="s_Earnings (2)_1_China as on Dec 31 2008" xfId="1283"/>
    <cellStyle name="s_Earnings (2)_1_Customer Details" xfId="1284"/>
    <cellStyle name="s_Earnings (2)_1_Eco Metrics" xfId="1285"/>
    <cellStyle name="s_Earnings (2)_1_GC001-China-Aug06" xfId="1286"/>
    <cellStyle name="s_Earnings (2)_1_GC001-China-July06" xfId="1287"/>
    <cellStyle name="s_Earnings (2)_1_GC001-China-Oct06" xfId="1288"/>
    <cellStyle name="s_Earnings (2)_1_Pipeline" xfId="1289"/>
    <cellStyle name="s_Earnings (2)_1_Pullbacks" xfId="1290"/>
    <cellStyle name="s_Earnings (2)_Aing report" xfId="1291"/>
    <cellStyle name="s_Earnings (2)_AR" xfId="1292"/>
    <cellStyle name="s_Earnings (2)_Base HC" xfId="1293"/>
    <cellStyle name="s_Earnings (2)_Base P&amp;L" xfId="1294"/>
    <cellStyle name="s_Earnings (2)_Capex" xfId="1295"/>
    <cellStyle name="s_Earnings (2)_China as on Dec 31 2008" xfId="1296"/>
    <cellStyle name="s_Earnings (2)_Customer Details" xfId="1297"/>
    <cellStyle name="s_Earnings (2)_Eco Metrics" xfId="1298"/>
    <cellStyle name="s_Earnings (2)_GC001-China-Aug06" xfId="1299"/>
    <cellStyle name="s_Earnings (2)_GC001-China-July06" xfId="1300"/>
    <cellStyle name="s_Earnings (2)_GC001-China-Oct06" xfId="1301"/>
    <cellStyle name="s_Earnings (2)_Pipeline" xfId="1302"/>
    <cellStyle name="s_Earnings (2)_Pullbacks" xfId="1303"/>
    <cellStyle name="s_Earnings 2" xfId="1304"/>
    <cellStyle name="s_Earnings 3" xfId="1305"/>
    <cellStyle name="s_Earnings 4" xfId="1306"/>
    <cellStyle name="s_Earnings 5" xfId="1307"/>
    <cellStyle name="s_Earnings_1" xfId="1308"/>
    <cellStyle name="s_Earnings_1 2" xfId="1309"/>
    <cellStyle name="s_Earnings_1_Aing report" xfId="1310"/>
    <cellStyle name="s_Earnings_1_AM0909" xfId="1311"/>
    <cellStyle name="s_Earnings_1_AM0909 2" xfId="1312"/>
    <cellStyle name="s_Earnings_1_AM0909_Aing report" xfId="1313"/>
    <cellStyle name="s_Earnings_1_AM0909_AR" xfId="1314"/>
    <cellStyle name="s_Earnings_1_AM0909_Base HC" xfId="1315"/>
    <cellStyle name="s_Earnings_1_AM0909_Base P&amp;L" xfId="1316"/>
    <cellStyle name="s_Earnings_1_AM0909_Capex" xfId="1317"/>
    <cellStyle name="s_Earnings_1_AM0909_China as on Dec 31 2008" xfId="1318"/>
    <cellStyle name="s_Earnings_1_AM0909_Customer Details" xfId="1319"/>
    <cellStyle name="s_Earnings_1_AM0909_Eco Metrics" xfId="1320"/>
    <cellStyle name="s_Earnings_1_AM0909_GC001-China-Aug06" xfId="1321"/>
    <cellStyle name="s_Earnings_1_AM0909_GC001-China-July06" xfId="1322"/>
    <cellStyle name="s_Earnings_1_AM0909_GC001-China-Oct06" xfId="1323"/>
    <cellStyle name="s_Earnings_1_AM0909_Pipeline" xfId="1324"/>
    <cellStyle name="s_Earnings_1_AM0909_Pullbacks" xfId="1325"/>
    <cellStyle name="s_Earnings_1_AR" xfId="1326"/>
    <cellStyle name="s_Earnings_1_Base HC" xfId="1327"/>
    <cellStyle name="s_Earnings_1_Base P&amp;L" xfId="1328"/>
    <cellStyle name="s_Earnings_1_Capex" xfId="1329"/>
    <cellStyle name="s_Earnings_1_China as on Dec 31 2008" xfId="1330"/>
    <cellStyle name="s_Earnings_1_Customer Details" xfId="1331"/>
    <cellStyle name="s_Earnings_1_Eco Metrics" xfId="1332"/>
    <cellStyle name="s_Earnings_1_GC001-China-Aug06" xfId="1333"/>
    <cellStyle name="s_Earnings_1_GC001-China-July06" xfId="1334"/>
    <cellStyle name="s_Earnings_1_GC001-China-Oct06" xfId="1335"/>
    <cellStyle name="s_Earnings_1_Pipeline" xfId="1336"/>
    <cellStyle name="s_Earnings_1_Pullbacks" xfId="1337"/>
    <cellStyle name="s_Earnings_2" xfId="1338"/>
    <cellStyle name="s_Earnings_2 2" xfId="1339"/>
    <cellStyle name="s_Earnings_2_Aing report" xfId="1340"/>
    <cellStyle name="s_Earnings_2_AM0909" xfId="1341"/>
    <cellStyle name="s_Earnings_2_AM0909 2" xfId="1342"/>
    <cellStyle name="s_Earnings_2_AM0909_Aing report" xfId="1343"/>
    <cellStyle name="s_Earnings_2_AM0909_AR" xfId="1344"/>
    <cellStyle name="s_Earnings_2_AM0909_Base HC" xfId="1345"/>
    <cellStyle name="s_Earnings_2_AM0909_Base P&amp;L" xfId="1346"/>
    <cellStyle name="s_Earnings_2_AM0909_Capex" xfId="1347"/>
    <cellStyle name="s_Earnings_2_AM0909_China as on Dec 31 2008" xfId="1348"/>
    <cellStyle name="s_Earnings_2_AM0909_Customer Details" xfId="1349"/>
    <cellStyle name="s_Earnings_2_AM0909_Eco Metrics" xfId="1350"/>
    <cellStyle name="s_Earnings_2_AM0909_GC001-China-Aug06" xfId="1351"/>
    <cellStyle name="s_Earnings_2_AM0909_GC001-China-July06" xfId="1352"/>
    <cellStyle name="s_Earnings_2_AM0909_GC001-China-Oct06" xfId="1353"/>
    <cellStyle name="s_Earnings_2_AM0909_Pipeline" xfId="1354"/>
    <cellStyle name="s_Earnings_2_AM0909_Pullbacks" xfId="1355"/>
    <cellStyle name="s_Earnings_2_AR" xfId="1356"/>
    <cellStyle name="s_Earnings_2_Base HC" xfId="1357"/>
    <cellStyle name="s_Earnings_2_Base P&amp;L" xfId="1358"/>
    <cellStyle name="s_Earnings_2_Capex" xfId="1359"/>
    <cellStyle name="s_Earnings_2_China as on Dec 31 2008" xfId="1360"/>
    <cellStyle name="s_Earnings_2_Customer Details" xfId="1361"/>
    <cellStyle name="s_Earnings_2_Eco Metrics" xfId="1362"/>
    <cellStyle name="s_Earnings_2_GC001-China-Aug06" xfId="1363"/>
    <cellStyle name="s_Earnings_2_GC001-China-July06" xfId="1364"/>
    <cellStyle name="s_Earnings_2_GC001-China-Oct06" xfId="1365"/>
    <cellStyle name="s_Earnings_2_Pipeline" xfId="1366"/>
    <cellStyle name="s_Earnings_2_Pullbacks" xfId="1367"/>
    <cellStyle name="s_Earnings_Aing report" xfId="1368"/>
    <cellStyle name="s_Earnings_AM0909" xfId="1369"/>
    <cellStyle name="s_Earnings_AM0909 2" xfId="1370"/>
    <cellStyle name="s_Earnings_AM0909_Aing report" xfId="1371"/>
    <cellStyle name="s_Earnings_AM0909_AR" xfId="1372"/>
    <cellStyle name="s_Earnings_AM0909_Base HC" xfId="1373"/>
    <cellStyle name="s_Earnings_AM0909_Base P&amp;L" xfId="1374"/>
    <cellStyle name="s_Earnings_AM0909_Capex" xfId="1375"/>
    <cellStyle name="s_Earnings_AM0909_China as on Dec 31 2008" xfId="1376"/>
    <cellStyle name="s_Earnings_AM0909_Customer Details" xfId="1377"/>
    <cellStyle name="s_Earnings_AM0909_Eco Metrics" xfId="1378"/>
    <cellStyle name="s_Earnings_AM0909_GC001-China-Aug06" xfId="1379"/>
    <cellStyle name="s_Earnings_AM0909_GC001-China-July06" xfId="1380"/>
    <cellStyle name="s_Earnings_AM0909_GC001-China-Oct06" xfId="1381"/>
    <cellStyle name="s_Earnings_AM0909_Pipeline" xfId="1382"/>
    <cellStyle name="s_Earnings_AM0909_Pullbacks" xfId="1383"/>
    <cellStyle name="s_Earnings_AR" xfId="1384"/>
    <cellStyle name="s_Earnings_Base HC" xfId="1385"/>
    <cellStyle name="s_Earnings_Base P&amp;L" xfId="1386"/>
    <cellStyle name="s_Earnings_Capex" xfId="1387"/>
    <cellStyle name="s_Earnings_China as on Dec 31 2008" xfId="1388"/>
    <cellStyle name="s_Earnings_Customer Details" xfId="1389"/>
    <cellStyle name="s_Earnings_Eco Metrics" xfId="1390"/>
    <cellStyle name="s_Earnings_GC001-China-Aug06" xfId="1391"/>
    <cellStyle name="s_Earnings_GC001-China-July06" xfId="1392"/>
    <cellStyle name="s_Earnings_GC001-China-Oct06" xfId="1393"/>
    <cellStyle name="s_Earnings_Pipeline" xfId="1394"/>
    <cellStyle name="s_Earnings_Pullbacks" xfId="1395"/>
    <cellStyle name="s_Eco Metrics" xfId="1396"/>
    <cellStyle name="s_Fin Graph" xfId="1397"/>
    <cellStyle name="s_Fin Graph 2" xfId="1398"/>
    <cellStyle name="s_Fin Graph_1" xfId="1399"/>
    <cellStyle name="s_Fin Graph_1 2" xfId="1400"/>
    <cellStyle name="s_Fin Graph_1_Aing report" xfId="1401"/>
    <cellStyle name="s_Fin Graph_1_AR" xfId="1402"/>
    <cellStyle name="s_Fin Graph_1_Base HC" xfId="1403"/>
    <cellStyle name="s_Fin Graph_1_Base P&amp;L" xfId="1404"/>
    <cellStyle name="s_Fin Graph_1_Capex" xfId="1405"/>
    <cellStyle name="s_Fin Graph_1_China as on Dec 31 2008" xfId="1406"/>
    <cellStyle name="s_Fin Graph_1_Customer Details" xfId="1407"/>
    <cellStyle name="s_Fin Graph_1_Eco Metrics" xfId="1408"/>
    <cellStyle name="s_Fin Graph_1_GC001-China-Aug06" xfId="1409"/>
    <cellStyle name="s_Fin Graph_1_GC001-China-July06" xfId="1410"/>
    <cellStyle name="s_Fin Graph_1_GC001-China-Oct06" xfId="1411"/>
    <cellStyle name="s_Fin Graph_1_Pipeline" xfId="1412"/>
    <cellStyle name="s_Fin Graph_1_Pullbacks" xfId="1413"/>
    <cellStyle name="s_Fin Graph_2" xfId="1414"/>
    <cellStyle name="s_Fin Graph_2 2" xfId="1415"/>
    <cellStyle name="s_Fin Graph_2_Aing report" xfId="1416"/>
    <cellStyle name="s_Fin Graph_2_AR" xfId="1417"/>
    <cellStyle name="s_Fin Graph_2_Base HC" xfId="1418"/>
    <cellStyle name="s_Fin Graph_2_Base P&amp;L" xfId="1419"/>
    <cellStyle name="s_Fin Graph_2_Capex" xfId="1420"/>
    <cellStyle name="s_Fin Graph_2_China as on Dec 31 2008" xfId="1421"/>
    <cellStyle name="s_Fin Graph_2_Customer Details" xfId="1422"/>
    <cellStyle name="s_Fin Graph_2_Eco Metrics" xfId="1423"/>
    <cellStyle name="s_Fin Graph_2_GC001-China-Aug06" xfId="1424"/>
    <cellStyle name="s_Fin Graph_2_GC001-China-July06" xfId="1425"/>
    <cellStyle name="s_Fin Graph_2_GC001-China-Oct06" xfId="1426"/>
    <cellStyle name="s_Fin Graph_2_Pipeline" xfId="1427"/>
    <cellStyle name="s_Fin Graph_2_Pullbacks" xfId="1428"/>
    <cellStyle name="s_Fin Graph_Aing report" xfId="1429"/>
    <cellStyle name="s_Fin Graph_AR" xfId="1430"/>
    <cellStyle name="s_Fin Graph_Base HC" xfId="1431"/>
    <cellStyle name="s_Fin Graph_Base P&amp;L" xfId="1432"/>
    <cellStyle name="s_Fin Graph_Capex" xfId="1433"/>
    <cellStyle name="s_Fin Graph_China as on Dec 31 2008" xfId="1434"/>
    <cellStyle name="s_Fin Graph_Customer Details" xfId="1435"/>
    <cellStyle name="s_Fin Graph_Eco Metrics" xfId="1436"/>
    <cellStyle name="s_Fin Graph_GC001-China-Aug06" xfId="1437"/>
    <cellStyle name="s_Fin Graph_GC001-China-July06" xfId="1438"/>
    <cellStyle name="s_Fin Graph_GC001-China-Oct06" xfId="1439"/>
    <cellStyle name="s_Fin Graph_Pipeline" xfId="1440"/>
    <cellStyle name="s_Fin Graph_Pullbacks" xfId="1441"/>
    <cellStyle name="s_GC001-China-Aug06" xfId="1442"/>
    <cellStyle name="s_GC001-China-July06" xfId="1443"/>
    <cellStyle name="s_GC001-China-Oct06" xfId="1444"/>
    <cellStyle name="s_Hist Graph" xfId="1445"/>
    <cellStyle name="s_Hist Graph 2" xfId="1446"/>
    <cellStyle name="s_Hist Graph_1" xfId="1447"/>
    <cellStyle name="s_Hist Graph_1 2" xfId="1448"/>
    <cellStyle name="s_Hist Graph_1_Aing report" xfId="1449"/>
    <cellStyle name="s_Hist Graph_1_AR" xfId="1450"/>
    <cellStyle name="s_Hist Graph_1_Base HC" xfId="1451"/>
    <cellStyle name="s_Hist Graph_1_Base P&amp;L" xfId="1452"/>
    <cellStyle name="s_Hist Graph_1_Capex" xfId="1453"/>
    <cellStyle name="s_Hist Graph_1_China as on Dec 31 2008" xfId="1454"/>
    <cellStyle name="s_Hist Graph_1_Customer Details" xfId="1455"/>
    <cellStyle name="s_Hist Graph_1_Eco Metrics" xfId="1456"/>
    <cellStyle name="s_Hist Graph_1_GC001-China-Aug06" xfId="1457"/>
    <cellStyle name="s_Hist Graph_1_GC001-China-July06" xfId="1458"/>
    <cellStyle name="s_Hist Graph_1_GC001-China-Oct06" xfId="1459"/>
    <cellStyle name="s_Hist Graph_1_Pipeline" xfId="1460"/>
    <cellStyle name="s_Hist Graph_1_Pullbacks" xfId="1461"/>
    <cellStyle name="s_Hist Graph_2" xfId="1462"/>
    <cellStyle name="s_Hist Graph_2 2" xfId="1463"/>
    <cellStyle name="s_Hist Graph_2_Aing report" xfId="1464"/>
    <cellStyle name="s_Hist Graph_2_AR" xfId="1465"/>
    <cellStyle name="s_Hist Graph_2_Base HC" xfId="1466"/>
    <cellStyle name="s_Hist Graph_2_Base P&amp;L" xfId="1467"/>
    <cellStyle name="s_Hist Graph_2_Capex" xfId="1468"/>
    <cellStyle name="s_Hist Graph_2_China as on Dec 31 2008" xfId="1469"/>
    <cellStyle name="s_Hist Graph_2_Customer Details" xfId="1470"/>
    <cellStyle name="s_Hist Graph_2_Eco Metrics" xfId="1471"/>
    <cellStyle name="s_Hist Graph_2_GC001-China-Aug06" xfId="1472"/>
    <cellStyle name="s_Hist Graph_2_GC001-China-July06" xfId="1473"/>
    <cellStyle name="s_Hist Graph_2_GC001-China-Oct06" xfId="1474"/>
    <cellStyle name="s_Hist Graph_2_Pipeline" xfId="1475"/>
    <cellStyle name="s_Hist Graph_2_Pullbacks" xfId="1476"/>
    <cellStyle name="s_Hist Graph_Aing report" xfId="1477"/>
    <cellStyle name="s_Hist Graph_AR" xfId="1478"/>
    <cellStyle name="s_Hist Graph_Base HC" xfId="1479"/>
    <cellStyle name="s_Hist Graph_Base P&amp;L" xfId="1480"/>
    <cellStyle name="s_Hist Graph_Capex" xfId="1481"/>
    <cellStyle name="s_Hist Graph_China as on Dec 31 2008" xfId="1482"/>
    <cellStyle name="s_Hist Graph_Customer Details" xfId="1483"/>
    <cellStyle name="s_Hist Graph_Eco Metrics" xfId="1484"/>
    <cellStyle name="s_Hist Graph_GC001-China-Aug06" xfId="1485"/>
    <cellStyle name="s_Hist Graph_GC001-China-July06" xfId="1486"/>
    <cellStyle name="s_Hist Graph_GC001-China-Oct06" xfId="1487"/>
    <cellStyle name="s_Hist Graph_Pipeline" xfId="1488"/>
    <cellStyle name="s_Hist Graph_Pullbacks" xfId="1489"/>
    <cellStyle name="s_Hist Inputs" xfId="1490"/>
    <cellStyle name="s_Hist Inputs (2)" xfId="1491"/>
    <cellStyle name="s_Hist Inputs (2) 2" xfId="1492"/>
    <cellStyle name="s_Hist Inputs (2)_1" xfId="1493"/>
    <cellStyle name="s_Hist Inputs (2)_1 2" xfId="1494"/>
    <cellStyle name="s_Hist Inputs (2)_1_Aing report" xfId="1495"/>
    <cellStyle name="s_Hist Inputs (2)_1_AR" xfId="1496"/>
    <cellStyle name="s_Hist Inputs (2)_1_Base HC" xfId="1497"/>
    <cellStyle name="s_Hist Inputs (2)_1_Base P&amp;L" xfId="1498"/>
    <cellStyle name="s_Hist Inputs (2)_1_Capex" xfId="1499"/>
    <cellStyle name="s_Hist Inputs (2)_1_China as on Dec 31 2008" xfId="1500"/>
    <cellStyle name="s_Hist Inputs (2)_1_Customer Details" xfId="1501"/>
    <cellStyle name="s_Hist Inputs (2)_1_Eco Metrics" xfId="1502"/>
    <cellStyle name="s_Hist Inputs (2)_1_GC001-China-Aug06" xfId="1503"/>
    <cellStyle name="s_Hist Inputs (2)_1_GC001-China-July06" xfId="1504"/>
    <cellStyle name="s_Hist Inputs (2)_1_GC001-China-Oct06" xfId="1505"/>
    <cellStyle name="s_Hist Inputs (2)_1_Pipeline" xfId="1506"/>
    <cellStyle name="s_Hist Inputs (2)_1_Pullbacks" xfId="1507"/>
    <cellStyle name="s_Hist Inputs (2)_Aing report" xfId="1508"/>
    <cellStyle name="s_Hist Inputs (2)_AR" xfId="1509"/>
    <cellStyle name="s_Hist Inputs (2)_Base HC" xfId="1510"/>
    <cellStyle name="s_Hist Inputs (2)_Base P&amp;L" xfId="1511"/>
    <cellStyle name="s_Hist Inputs (2)_Capex" xfId="1512"/>
    <cellStyle name="s_Hist Inputs (2)_China as on Dec 31 2008" xfId="1513"/>
    <cellStyle name="s_Hist Inputs (2)_Customer Details" xfId="1514"/>
    <cellStyle name="s_Hist Inputs (2)_Eco Metrics" xfId="1515"/>
    <cellStyle name="s_Hist Inputs (2)_GC001-China-Aug06" xfId="1516"/>
    <cellStyle name="s_Hist Inputs (2)_GC001-China-July06" xfId="1517"/>
    <cellStyle name="s_Hist Inputs (2)_GC001-China-Oct06" xfId="1518"/>
    <cellStyle name="s_Hist Inputs (2)_Pipeline" xfId="1519"/>
    <cellStyle name="s_Hist Inputs (2)_Pullbacks" xfId="1520"/>
    <cellStyle name="s_Hist Inputs 2" xfId="1521"/>
    <cellStyle name="s_Hist Inputs 3" xfId="1522"/>
    <cellStyle name="s_Hist Inputs 4" xfId="1523"/>
    <cellStyle name="s_Hist Inputs 5" xfId="1524"/>
    <cellStyle name="s_Hist Inputs_1" xfId="1525"/>
    <cellStyle name="s_Hist Inputs_1 2" xfId="1526"/>
    <cellStyle name="s_Hist Inputs_1_Aing report" xfId="1527"/>
    <cellStyle name="s_Hist Inputs_1_AM0909" xfId="1528"/>
    <cellStyle name="s_Hist Inputs_1_AM0909 2" xfId="1529"/>
    <cellStyle name="s_Hist Inputs_1_AM0909_Aing report" xfId="1530"/>
    <cellStyle name="s_Hist Inputs_1_AM0909_AR" xfId="1531"/>
    <cellStyle name="s_Hist Inputs_1_AM0909_Base HC" xfId="1532"/>
    <cellStyle name="s_Hist Inputs_1_AM0909_Base P&amp;L" xfId="1533"/>
    <cellStyle name="s_Hist Inputs_1_AM0909_Capex" xfId="1534"/>
    <cellStyle name="s_Hist Inputs_1_AM0909_China as on Dec 31 2008" xfId="1535"/>
    <cellStyle name="s_Hist Inputs_1_AM0909_Customer Details" xfId="1536"/>
    <cellStyle name="s_Hist Inputs_1_AM0909_Eco Metrics" xfId="1537"/>
    <cellStyle name="s_Hist Inputs_1_AM0909_GC001-China-Aug06" xfId="1538"/>
    <cellStyle name="s_Hist Inputs_1_AM0909_GC001-China-July06" xfId="1539"/>
    <cellStyle name="s_Hist Inputs_1_AM0909_GC001-China-Oct06" xfId="1540"/>
    <cellStyle name="s_Hist Inputs_1_AM0909_Pipeline" xfId="1541"/>
    <cellStyle name="s_Hist Inputs_1_AM0909_Pullbacks" xfId="1542"/>
    <cellStyle name="s_Hist Inputs_1_AR" xfId="1543"/>
    <cellStyle name="s_Hist Inputs_1_Base HC" xfId="1544"/>
    <cellStyle name="s_Hist Inputs_1_Base P&amp;L" xfId="1545"/>
    <cellStyle name="s_Hist Inputs_1_Capex" xfId="1546"/>
    <cellStyle name="s_Hist Inputs_1_China as on Dec 31 2008" xfId="1547"/>
    <cellStyle name="s_Hist Inputs_1_Customer Details" xfId="1548"/>
    <cellStyle name="s_Hist Inputs_1_Eco Metrics" xfId="1549"/>
    <cellStyle name="s_Hist Inputs_1_GC001-China-Aug06" xfId="1550"/>
    <cellStyle name="s_Hist Inputs_1_GC001-China-July06" xfId="1551"/>
    <cellStyle name="s_Hist Inputs_1_GC001-China-Oct06" xfId="1552"/>
    <cellStyle name="s_Hist Inputs_1_Pipeline" xfId="1553"/>
    <cellStyle name="s_Hist Inputs_1_Pullbacks" xfId="1554"/>
    <cellStyle name="s_Hist Inputs_2" xfId="1555"/>
    <cellStyle name="s_Hist Inputs_2 2" xfId="1556"/>
    <cellStyle name="s_Hist Inputs_2_Aing report" xfId="1557"/>
    <cellStyle name="s_Hist Inputs_2_AR" xfId="1558"/>
    <cellStyle name="s_Hist Inputs_2_Base HC" xfId="1559"/>
    <cellStyle name="s_Hist Inputs_2_Base P&amp;L" xfId="1560"/>
    <cellStyle name="s_Hist Inputs_2_Capex" xfId="1561"/>
    <cellStyle name="s_Hist Inputs_2_China as on Dec 31 2008" xfId="1562"/>
    <cellStyle name="s_Hist Inputs_2_Customer Details" xfId="1563"/>
    <cellStyle name="s_Hist Inputs_2_Eco Metrics" xfId="1564"/>
    <cellStyle name="s_Hist Inputs_2_GC001-China-Aug06" xfId="1565"/>
    <cellStyle name="s_Hist Inputs_2_GC001-China-July06" xfId="1566"/>
    <cellStyle name="s_Hist Inputs_2_GC001-China-Oct06" xfId="1567"/>
    <cellStyle name="s_Hist Inputs_2_Pipeline" xfId="1568"/>
    <cellStyle name="s_Hist Inputs_2_Pullbacks" xfId="1569"/>
    <cellStyle name="s_Hist Inputs_Aing report" xfId="1570"/>
    <cellStyle name="s_Hist Inputs_AM0909" xfId="1571"/>
    <cellStyle name="s_Hist Inputs_AM0909 2" xfId="1572"/>
    <cellStyle name="s_Hist Inputs_AM0909_Aing report" xfId="1573"/>
    <cellStyle name="s_Hist Inputs_AM0909_AR" xfId="1574"/>
    <cellStyle name="s_Hist Inputs_AM0909_Base HC" xfId="1575"/>
    <cellStyle name="s_Hist Inputs_AM0909_Base P&amp;L" xfId="1576"/>
    <cellStyle name="s_Hist Inputs_AM0909_Capex" xfId="1577"/>
    <cellStyle name="s_Hist Inputs_AM0909_China as on Dec 31 2008" xfId="1578"/>
    <cellStyle name="s_Hist Inputs_AM0909_Customer Details" xfId="1579"/>
    <cellStyle name="s_Hist Inputs_AM0909_Eco Metrics" xfId="1580"/>
    <cellStyle name="s_Hist Inputs_AM0909_GC001-China-Aug06" xfId="1581"/>
    <cellStyle name="s_Hist Inputs_AM0909_GC001-China-July06" xfId="1582"/>
    <cellStyle name="s_Hist Inputs_AM0909_GC001-China-Oct06" xfId="1583"/>
    <cellStyle name="s_Hist Inputs_AM0909_Pipeline" xfId="1584"/>
    <cellStyle name="s_Hist Inputs_AM0909_Pullbacks" xfId="1585"/>
    <cellStyle name="s_Hist Inputs_AR" xfId="1586"/>
    <cellStyle name="s_Hist Inputs_Base HC" xfId="1587"/>
    <cellStyle name="s_Hist Inputs_Base P&amp;L" xfId="1588"/>
    <cellStyle name="s_Hist Inputs_Capex" xfId="1589"/>
    <cellStyle name="s_Hist Inputs_China as on Dec 31 2008" xfId="1590"/>
    <cellStyle name="s_Hist Inputs_Customer Details" xfId="1591"/>
    <cellStyle name="s_Hist Inputs_Eco Metrics" xfId="1592"/>
    <cellStyle name="s_Hist Inputs_GC001-China-Aug06" xfId="1593"/>
    <cellStyle name="s_Hist Inputs_GC001-China-July06" xfId="1594"/>
    <cellStyle name="s_Hist Inputs_GC001-China-Oct06" xfId="1595"/>
    <cellStyle name="s_Hist Inputs_Pipeline" xfId="1596"/>
    <cellStyle name="s_Hist Inputs_Pullbacks" xfId="1597"/>
    <cellStyle name="s_IPO" xfId="1598"/>
    <cellStyle name="s_IPO 2" xfId="1599"/>
    <cellStyle name="s_IPO_Aing report" xfId="1600"/>
    <cellStyle name="s_IPO_AR" xfId="1601"/>
    <cellStyle name="s_IPO_Base HC" xfId="1602"/>
    <cellStyle name="s_IPO_Base P&amp;L" xfId="1603"/>
    <cellStyle name="s_IPO_Capex" xfId="1604"/>
    <cellStyle name="s_IPO_China as on Dec 31 2008" xfId="1605"/>
    <cellStyle name="s_IPO_Customer Details" xfId="1606"/>
    <cellStyle name="s_IPO_Eco Metrics" xfId="1607"/>
    <cellStyle name="s_IPO_GC001-China-Aug06" xfId="1608"/>
    <cellStyle name="s_IPO_GC001-China-July06" xfId="1609"/>
    <cellStyle name="s_IPO_GC001-China-Oct06" xfId="1610"/>
    <cellStyle name="s_IPO_Pipeline" xfId="1611"/>
    <cellStyle name="s_IPO_Pullbacks" xfId="1612"/>
    <cellStyle name="s_LambSum_link_a" xfId="1613"/>
    <cellStyle name="s_LambSum_link_a 2" xfId="1614"/>
    <cellStyle name="s_LambSum_link_a_Aing report" xfId="1615"/>
    <cellStyle name="s_LambSum_link_a_AR" xfId="1616"/>
    <cellStyle name="s_LambSum_link_a_Base HC" xfId="1617"/>
    <cellStyle name="s_LambSum_link_a_Base P&amp;L" xfId="1618"/>
    <cellStyle name="s_LambSum_link_a_Capex" xfId="1619"/>
    <cellStyle name="s_LambSum_link_a_China as on Dec 31 2008" xfId="1620"/>
    <cellStyle name="s_LambSum_link_a_Customer Details" xfId="1621"/>
    <cellStyle name="s_LambSum_link_a_Eco Metrics" xfId="1622"/>
    <cellStyle name="s_LambSum_link_a_GC001-China-Aug06" xfId="1623"/>
    <cellStyle name="s_LambSum_link_a_GC001-China-July06" xfId="1624"/>
    <cellStyle name="s_LambSum_link_a_GC001-China-Oct06" xfId="1625"/>
    <cellStyle name="s_LambSum_link_a_Pipeline" xfId="1626"/>
    <cellStyle name="s_LambSum_link_a_Pullbacks" xfId="1627"/>
    <cellStyle name="s_LBO" xfId="1628"/>
    <cellStyle name="s_LBO 2" xfId="1629"/>
    <cellStyle name="s_LBO IRR" xfId="1630"/>
    <cellStyle name="s_LBO IRR 2" xfId="1631"/>
    <cellStyle name="s_LBO IRR_1" xfId="1632"/>
    <cellStyle name="s_LBO IRR_1 2" xfId="1633"/>
    <cellStyle name="s_LBO IRR_1_Aing report" xfId="1634"/>
    <cellStyle name="s_LBO IRR_1_AR" xfId="1635"/>
    <cellStyle name="s_LBO IRR_1_Base HC" xfId="1636"/>
    <cellStyle name="s_LBO IRR_1_Base P&amp;L" xfId="1637"/>
    <cellStyle name="s_LBO IRR_1_Capex" xfId="1638"/>
    <cellStyle name="s_LBO IRR_1_China as on Dec 31 2008" xfId="1639"/>
    <cellStyle name="s_LBO IRR_1_Customer Details" xfId="1640"/>
    <cellStyle name="s_LBO IRR_1_Eco Metrics" xfId="1641"/>
    <cellStyle name="s_LBO IRR_1_GC001-China-Aug06" xfId="1642"/>
    <cellStyle name="s_LBO IRR_1_GC001-China-July06" xfId="1643"/>
    <cellStyle name="s_LBO IRR_1_GC001-China-Oct06" xfId="1644"/>
    <cellStyle name="s_LBO IRR_1_Pipeline" xfId="1645"/>
    <cellStyle name="s_LBO IRR_1_Pullbacks" xfId="1646"/>
    <cellStyle name="s_LBO IRR_2" xfId="1647"/>
    <cellStyle name="s_LBO IRR_2 2" xfId="1648"/>
    <cellStyle name="s_LBO IRR_2_Aing report" xfId="1649"/>
    <cellStyle name="s_LBO IRR_2_AR" xfId="1650"/>
    <cellStyle name="s_LBO IRR_2_Base HC" xfId="1651"/>
    <cellStyle name="s_LBO IRR_2_Base P&amp;L" xfId="1652"/>
    <cellStyle name="s_LBO IRR_2_Capex" xfId="1653"/>
    <cellStyle name="s_LBO IRR_2_China as on Dec 31 2008" xfId="1654"/>
    <cellStyle name="s_LBO IRR_2_Customer Details" xfId="1655"/>
    <cellStyle name="s_LBO IRR_2_Eco Metrics" xfId="1656"/>
    <cellStyle name="s_LBO IRR_2_GC001-China-Aug06" xfId="1657"/>
    <cellStyle name="s_LBO IRR_2_GC001-China-July06" xfId="1658"/>
    <cellStyle name="s_LBO IRR_2_GC001-China-Oct06" xfId="1659"/>
    <cellStyle name="s_LBO IRR_2_Pipeline" xfId="1660"/>
    <cellStyle name="s_LBO IRR_2_Pullbacks" xfId="1661"/>
    <cellStyle name="s_LBO IRR_Aing report" xfId="1662"/>
    <cellStyle name="s_LBO IRR_AR" xfId="1663"/>
    <cellStyle name="s_LBO IRR_Base HC" xfId="1664"/>
    <cellStyle name="s_LBO IRR_Base P&amp;L" xfId="1665"/>
    <cellStyle name="s_LBO IRR_Capex" xfId="1666"/>
    <cellStyle name="s_LBO IRR_China as on Dec 31 2008" xfId="1667"/>
    <cellStyle name="s_LBO IRR_Customer Details" xfId="1668"/>
    <cellStyle name="s_LBO IRR_Eco Metrics" xfId="1669"/>
    <cellStyle name="s_LBO IRR_GC001-China-Aug06" xfId="1670"/>
    <cellStyle name="s_LBO IRR_GC001-China-July06" xfId="1671"/>
    <cellStyle name="s_LBO IRR_GC001-China-Oct06" xfId="1672"/>
    <cellStyle name="s_LBO IRR_Pipeline" xfId="1673"/>
    <cellStyle name="s_LBO IRR_Pullbacks" xfId="1674"/>
    <cellStyle name="s_LBO Sens" xfId="1675"/>
    <cellStyle name="s_LBO Sens 2" xfId="1676"/>
    <cellStyle name="s_LBO Sens_1" xfId="1677"/>
    <cellStyle name="s_LBO Sens_1 2" xfId="1678"/>
    <cellStyle name="s_LBO Sens_1_Aing report" xfId="1679"/>
    <cellStyle name="s_LBO Sens_1_AR" xfId="1680"/>
    <cellStyle name="s_LBO Sens_1_Base HC" xfId="1681"/>
    <cellStyle name="s_LBO Sens_1_Base P&amp;L" xfId="1682"/>
    <cellStyle name="s_LBO Sens_1_Capex" xfId="1683"/>
    <cellStyle name="s_LBO Sens_1_China as on Dec 31 2008" xfId="1684"/>
    <cellStyle name="s_LBO Sens_1_Customer Details" xfId="1685"/>
    <cellStyle name="s_LBO Sens_1_Eco Metrics" xfId="1686"/>
    <cellStyle name="s_LBO Sens_1_GC001-China-Aug06" xfId="1687"/>
    <cellStyle name="s_LBO Sens_1_GC001-China-July06" xfId="1688"/>
    <cellStyle name="s_LBO Sens_1_GC001-China-Oct06" xfId="1689"/>
    <cellStyle name="s_LBO Sens_1_Pipeline" xfId="1690"/>
    <cellStyle name="s_LBO Sens_1_Pullbacks" xfId="1691"/>
    <cellStyle name="s_LBO Sens_2" xfId="1692"/>
    <cellStyle name="s_LBO Sens_2 2" xfId="1693"/>
    <cellStyle name="s_LBO Sens_2_Aing report" xfId="1694"/>
    <cellStyle name="s_LBO Sens_2_AR" xfId="1695"/>
    <cellStyle name="s_LBO Sens_2_Base HC" xfId="1696"/>
    <cellStyle name="s_LBO Sens_2_Base P&amp;L" xfId="1697"/>
    <cellStyle name="s_LBO Sens_2_Capex" xfId="1698"/>
    <cellStyle name="s_LBO Sens_2_China as on Dec 31 2008" xfId="1699"/>
    <cellStyle name="s_LBO Sens_2_Customer Details" xfId="1700"/>
    <cellStyle name="s_LBO Sens_2_Eco Metrics" xfId="1701"/>
    <cellStyle name="s_LBO Sens_2_GC001-China-Aug06" xfId="1702"/>
    <cellStyle name="s_LBO Sens_2_GC001-China-July06" xfId="1703"/>
    <cellStyle name="s_LBO Sens_2_GC001-China-Oct06" xfId="1704"/>
    <cellStyle name="s_LBO Sens_2_Pipeline" xfId="1705"/>
    <cellStyle name="s_LBO Sens_2_Pullbacks" xfId="1706"/>
    <cellStyle name="s_LBO Sens_Aing report" xfId="1707"/>
    <cellStyle name="s_LBO Sens_AR" xfId="1708"/>
    <cellStyle name="s_LBO Sens_Base HC" xfId="1709"/>
    <cellStyle name="s_LBO Sens_Base P&amp;L" xfId="1710"/>
    <cellStyle name="s_LBO Sens_Capex" xfId="1711"/>
    <cellStyle name="s_LBO Sens_China as on Dec 31 2008" xfId="1712"/>
    <cellStyle name="s_LBO Sens_Customer Details" xfId="1713"/>
    <cellStyle name="s_LBO Sens_Eco Metrics" xfId="1714"/>
    <cellStyle name="s_LBO Sens_GC001-China-Aug06" xfId="1715"/>
    <cellStyle name="s_LBO Sens_GC001-China-July06" xfId="1716"/>
    <cellStyle name="s_LBO Sens_GC001-China-Oct06" xfId="1717"/>
    <cellStyle name="s_LBO Sens_Pipeline" xfId="1718"/>
    <cellStyle name="s_LBO Sens_Pullbacks" xfId="1719"/>
    <cellStyle name="s_LBO Summary" xfId="1720"/>
    <cellStyle name="s_LBO Summary 2" xfId="1721"/>
    <cellStyle name="s_LBO Summary_1" xfId="1722"/>
    <cellStyle name="s_LBO Summary_1 2" xfId="1723"/>
    <cellStyle name="s_LBO Summary_1_Aing report" xfId="1724"/>
    <cellStyle name="s_LBO Summary_1_AR" xfId="1725"/>
    <cellStyle name="s_LBO Summary_1_Base HC" xfId="1726"/>
    <cellStyle name="s_LBO Summary_1_Base P&amp;L" xfId="1727"/>
    <cellStyle name="s_LBO Summary_1_Capex" xfId="1728"/>
    <cellStyle name="s_LBO Summary_1_China as on Dec 31 2008" xfId="1729"/>
    <cellStyle name="s_LBO Summary_1_Customer Details" xfId="1730"/>
    <cellStyle name="s_LBO Summary_1_Eco Metrics" xfId="1731"/>
    <cellStyle name="s_LBO Summary_1_GC001-China-Aug06" xfId="1732"/>
    <cellStyle name="s_LBO Summary_1_GC001-China-July06" xfId="1733"/>
    <cellStyle name="s_LBO Summary_1_GC001-China-Oct06" xfId="1734"/>
    <cellStyle name="s_LBO Summary_1_Mary911" xfId="1735"/>
    <cellStyle name="s_LBO Summary_1_Mary911 2" xfId="1736"/>
    <cellStyle name="s_LBO Summary_1_Mary911_Aing report" xfId="1737"/>
    <cellStyle name="s_LBO Summary_1_Mary911_AR" xfId="1738"/>
    <cellStyle name="s_LBO Summary_1_Mary911_Base HC" xfId="1739"/>
    <cellStyle name="s_LBO Summary_1_Mary911_Base P&amp;L" xfId="1740"/>
    <cellStyle name="s_LBO Summary_1_Mary911_Capex" xfId="1741"/>
    <cellStyle name="s_LBO Summary_1_Mary911_China as on Dec 31 2008" xfId="1742"/>
    <cellStyle name="s_LBO Summary_1_Mary911_Customer Details" xfId="1743"/>
    <cellStyle name="s_LBO Summary_1_Mary911_Eco Metrics" xfId="1744"/>
    <cellStyle name="s_LBO Summary_1_Mary911_GC001-China-Aug06" xfId="1745"/>
    <cellStyle name="s_LBO Summary_1_Mary911_GC001-China-July06" xfId="1746"/>
    <cellStyle name="s_LBO Summary_1_Mary911_GC001-China-Oct06" xfId="1747"/>
    <cellStyle name="s_LBO Summary_1_Mary911_Pipeline" xfId="1748"/>
    <cellStyle name="s_LBO Summary_1_Mary911_Pullbacks" xfId="1749"/>
    <cellStyle name="s_LBO Summary_1_mona0915a" xfId="1750"/>
    <cellStyle name="s_LBO Summary_1_mona0915a 2" xfId="1751"/>
    <cellStyle name="s_LBO Summary_1_mona0915a_Aing report" xfId="1752"/>
    <cellStyle name="s_LBO Summary_1_mona0915a_AR" xfId="1753"/>
    <cellStyle name="s_LBO Summary_1_mona0915a_Base HC" xfId="1754"/>
    <cellStyle name="s_LBO Summary_1_mona0915a_Base P&amp;L" xfId="1755"/>
    <cellStyle name="s_LBO Summary_1_mona0915a_Capex" xfId="1756"/>
    <cellStyle name="s_LBO Summary_1_mona0915a_China as on Dec 31 2008" xfId="1757"/>
    <cellStyle name="s_LBO Summary_1_mona0915a_Customer Details" xfId="1758"/>
    <cellStyle name="s_LBO Summary_1_mona0915a_Eco Metrics" xfId="1759"/>
    <cellStyle name="s_LBO Summary_1_mona0915a_GC001-China-Aug06" xfId="1760"/>
    <cellStyle name="s_LBO Summary_1_mona0915a_GC001-China-July06" xfId="1761"/>
    <cellStyle name="s_LBO Summary_1_mona0915a_GC001-China-Oct06" xfId="1762"/>
    <cellStyle name="s_LBO Summary_1_mona0915a_Pipeline" xfId="1763"/>
    <cellStyle name="s_LBO Summary_1_mona0915a_Pullbacks" xfId="1764"/>
    <cellStyle name="s_LBO Summary_1_mona0915b" xfId="1765"/>
    <cellStyle name="s_LBO Summary_1_mona0915b 2" xfId="1766"/>
    <cellStyle name="s_LBO Summary_1_mona0915b_Aing report" xfId="1767"/>
    <cellStyle name="s_LBO Summary_1_mona0915b_AR" xfId="1768"/>
    <cellStyle name="s_LBO Summary_1_mona0915b_Base HC" xfId="1769"/>
    <cellStyle name="s_LBO Summary_1_mona0915b_Base P&amp;L" xfId="1770"/>
    <cellStyle name="s_LBO Summary_1_mona0915b_Capex" xfId="1771"/>
    <cellStyle name="s_LBO Summary_1_mona0915b_China as on Dec 31 2008" xfId="1772"/>
    <cellStyle name="s_LBO Summary_1_mona0915b_Customer Details" xfId="1773"/>
    <cellStyle name="s_LBO Summary_1_mona0915b_Eco Metrics" xfId="1774"/>
    <cellStyle name="s_LBO Summary_1_mona0915b_GC001-China-Aug06" xfId="1775"/>
    <cellStyle name="s_LBO Summary_1_mona0915b_GC001-China-July06" xfId="1776"/>
    <cellStyle name="s_LBO Summary_1_mona0915b_GC001-China-Oct06" xfId="1777"/>
    <cellStyle name="s_LBO Summary_1_mona0915b_Pipeline" xfId="1778"/>
    <cellStyle name="s_LBO Summary_1_mona0915b_Pullbacks" xfId="1779"/>
    <cellStyle name="s_LBO Summary_1_Pipeline" xfId="1780"/>
    <cellStyle name="s_LBO Summary_1_Pullbacks" xfId="1781"/>
    <cellStyle name="s_LBO Summary_2" xfId="1782"/>
    <cellStyle name="s_LBO Summary_2 2" xfId="1783"/>
    <cellStyle name="s_LBO Summary_2_Aing report" xfId="1784"/>
    <cellStyle name="s_LBO Summary_2_AM0909" xfId="1785"/>
    <cellStyle name="s_LBO Summary_2_AM0909 2" xfId="1786"/>
    <cellStyle name="s_LBO Summary_2_AM0909_Aing report" xfId="1787"/>
    <cellStyle name="s_LBO Summary_2_AM0909_AR" xfId="1788"/>
    <cellStyle name="s_LBO Summary_2_AM0909_Base HC" xfId="1789"/>
    <cellStyle name="s_LBO Summary_2_AM0909_Base P&amp;L" xfId="1790"/>
    <cellStyle name="s_LBO Summary_2_AM0909_Capex" xfId="1791"/>
    <cellStyle name="s_LBO Summary_2_AM0909_China as on Dec 31 2008" xfId="1792"/>
    <cellStyle name="s_LBO Summary_2_AM0909_Customer Details" xfId="1793"/>
    <cellStyle name="s_LBO Summary_2_AM0909_Eco Metrics" xfId="1794"/>
    <cellStyle name="s_LBO Summary_2_AM0909_GC001-China-Aug06" xfId="1795"/>
    <cellStyle name="s_LBO Summary_2_AM0909_GC001-China-July06" xfId="1796"/>
    <cellStyle name="s_LBO Summary_2_AM0909_GC001-China-Oct06" xfId="1797"/>
    <cellStyle name="s_LBO Summary_2_AM0909_Pipeline" xfId="1798"/>
    <cellStyle name="s_LBO Summary_2_AM0909_Pullbacks" xfId="1799"/>
    <cellStyle name="s_LBO Summary_2_AR" xfId="1800"/>
    <cellStyle name="s_LBO Summary_2_Base HC" xfId="1801"/>
    <cellStyle name="s_LBO Summary_2_Base P&amp;L" xfId="1802"/>
    <cellStyle name="s_LBO Summary_2_Capex" xfId="1803"/>
    <cellStyle name="s_LBO Summary_2_China as on Dec 31 2008" xfId="1804"/>
    <cellStyle name="s_LBO Summary_2_Customer Details" xfId="1805"/>
    <cellStyle name="s_LBO Summary_2_Eco Metrics" xfId="1806"/>
    <cellStyle name="s_LBO Summary_2_GC001-China-Aug06" xfId="1807"/>
    <cellStyle name="s_LBO Summary_2_GC001-China-July06" xfId="1808"/>
    <cellStyle name="s_LBO Summary_2_GC001-China-Oct06" xfId="1809"/>
    <cellStyle name="s_LBO Summary_2_Pipeline" xfId="1810"/>
    <cellStyle name="s_LBO Summary_2_Pullbacks" xfId="1811"/>
    <cellStyle name="s_LBO Summary_Aing report" xfId="1812"/>
    <cellStyle name="s_LBO Summary_AM0909" xfId="1813"/>
    <cellStyle name="s_LBO Summary_AM0909 2" xfId="1814"/>
    <cellStyle name="s_LBO Summary_AM0909_Aing report" xfId="1815"/>
    <cellStyle name="s_LBO Summary_AM0909_AR" xfId="1816"/>
    <cellStyle name="s_LBO Summary_AM0909_Base HC" xfId="1817"/>
    <cellStyle name="s_LBO Summary_AM0909_Base P&amp;L" xfId="1818"/>
    <cellStyle name="s_LBO Summary_AM0909_Capex" xfId="1819"/>
    <cellStyle name="s_LBO Summary_AM0909_China as on Dec 31 2008" xfId="1820"/>
    <cellStyle name="s_LBO Summary_AM0909_Customer Details" xfId="1821"/>
    <cellStyle name="s_LBO Summary_AM0909_Eco Metrics" xfId="1822"/>
    <cellStyle name="s_LBO Summary_AM0909_GC001-China-Aug06" xfId="1823"/>
    <cellStyle name="s_LBO Summary_AM0909_GC001-China-July06" xfId="1824"/>
    <cellStyle name="s_LBO Summary_AM0909_GC001-China-Oct06" xfId="1825"/>
    <cellStyle name="s_LBO Summary_AM0909_Pipeline" xfId="1826"/>
    <cellStyle name="s_LBO Summary_AM0909_Pullbacks" xfId="1827"/>
    <cellStyle name="s_LBO Summary_AR" xfId="1828"/>
    <cellStyle name="s_LBO Summary_Base HC" xfId="1829"/>
    <cellStyle name="s_LBO Summary_Base P&amp;L" xfId="1830"/>
    <cellStyle name="s_LBO Summary_Capex" xfId="1831"/>
    <cellStyle name="s_LBO Summary_China as on Dec 31 2008" xfId="1832"/>
    <cellStyle name="s_LBO Summary_Customer Details" xfId="1833"/>
    <cellStyle name="s_LBO Summary_Eco Metrics" xfId="1834"/>
    <cellStyle name="s_LBO Summary_GC001-China-Aug06" xfId="1835"/>
    <cellStyle name="s_LBO Summary_GC001-China-July06" xfId="1836"/>
    <cellStyle name="s_LBO Summary_GC001-China-Oct06" xfId="1837"/>
    <cellStyle name="s_LBO Summary_Mary911" xfId="1838"/>
    <cellStyle name="s_LBO Summary_Mary911 2" xfId="1839"/>
    <cellStyle name="s_LBO Summary_Mary911_Aing report" xfId="1840"/>
    <cellStyle name="s_LBO Summary_Mary911_AR" xfId="1841"/>
    <cellStyle name="s_LBO Summary_Mary911_Base HC" xfId="1842"/>
    <cellStyle name="s_LBO Summary_Mary911_Base P&amp;L" xfId="1843"/>
    <cellStyle name="s_LBO Summary_Mary911_Capex" xfId="1844"/>
    <cellStyle name="s_LBO Summary_Mary911_China as on Dec 31 2008" xfId="1845"/>
    <cellStyle name="s_LBO Summary_Mary911_Customer Details" xfId="1846"/>
    <cellStyle name="s_LBO Summary_Mary911_Eco Metrics" xfId="1847"/>
    <cellStyle name="s_LBO Summary_Mary911_GC001-China-Aug06" xfId="1848"/>
    <cellStyle name="s_LBO Summary_Mary911_GC001-China-July06" xfId="1849"/>
    <cellStyle name="s_LBO Summary_Mary911_GC001-China-Oct06" xfId="1850"/>
    <cellStyle name="s_LBO Summary_Mary911_Pipeline" xfId="1851"/>
    <cellStyle name="s_LBO Summary_Mary911_Pullbacks" xfId="1852"/>
    <cellStyle name="s_LBO Summary_mona0915a" xfId="1853"/>
    <cellStyle name="s_LBO Summary_mona0915a 2" xfId="1854"/>
    <cellStyle name="s_LBO Summary_mona0915a_Aing report" xfId="1855"/>
    <cellStyle name="s_LBO Summary_mona0915a_AR" xfId="1856"/>
    <cellStyle name="s_LBO Summary_mona0915a_Base HC" xfId="1857"/>
    <cellStyle name="s_LBO Summary_mona0915a_Base P&amp;L" xfId="1858"/>
    <cellStyle name="s_LBO Summary_mona0915a_Capex" xfId="1859"/>
    <cellStyle name="s_LBO Summary_mona0915a_China as on Dec 31 2008" xfId="1860"/>
    <cellStyle name="s_LBO Summary_mona0915a_Customer Details" xfId="1861"/>
    <cellStyle name="s_LBO Summary_mona0915a_Eco Metrics" xfId="1862"/>
    <cellStyle name="s_LBO Summary_mona0915a_GC001-China-Aug06" xfId="1863"/>
    <cellStyle name="s_LBO Summary_mona0915a_GC001-China-July06" xfId="1864"/>
    <cellStyle name="s_LBO Summary_mona0915a_GC001-China-Oct06" xfId="1865"/>
    <cellStyle name="s_LBO Summary_mona0915a_Pipeline" xfId="1866"/>
    <cellStyle name="s_LBO Summary_mona0915a_Pullbacks" xfId="1867"/>
    <cellStyle name="s_LBO Summary_mona0915b" xfId="1868"/>
    <cellStyle name="s_LBO Summary_mona0915b 2" xfId="1869"/>
    <cellStyle name="s_LBO Summary_mona0915b_Aing report" xfId="1870"/>
    <cellStyle name="s_LBO Summary_mona0915b_AR" xfId="1871"/>
    <cellStyle name="s_LBO Summary_mona0915b_Base HC" xfId="1872"/>
    <cellStyle name="s_LBO Summary_mona0915b_Base P&amp;L" xfId="1873"/>
    <cellStyle name="s_LBO Summary_mona0915b_Capex" xfId="1874"/>
    <cellStyle name="s_LBO Summary_mona0915b_China as on Dec 31 2008" xfId="1875"/>
    <cellStyle name="s_LBO Summary_mona0915b_Customer Details" xfId="1876"/>
    <cellStyle name="s_LBO Summary_mona0915b_Eco Metrics" xfId="1877"/>
    <cellStyle name="s_LBO Summary_mona0915b_GC001-China-Aug06" xfId="1878"/>
    <cellStyle name="s_LBO Summary_mona0915b_GC001-China-July06" xfId="1879"/>
    <cellStyle name="s_LBO Summary_mona0915b_GC001-China-Oct06" xfId="1880"/>
    <cellStyle name="s_LBO Summary_mona0915b_Pipeline" xfId="1881"/>
    <cellStyle name="s_LBO Summary_mona0915b_Pullbacks" xfId="1882"/>
    <cellStyle name="s_LBO Summary_Pipeline" xfId="1883"/>
    <cellStyle name="s_LBO Summary_Pullbacks" xfId="1884"/>
    <cellStyle name="s_LBO_1" xfId="1885"/>
    <cellStyle name="s_LBO_1 2" xfId="1886"/>
    <cellStyle name="s_LBO_1_Aing report" xfId="1887"/>
    <cellStyle name="s_LBO_1_AR" xfId="1888"/>
    <cellStyle name="s_LBO_1_Base HC" xfId="1889"/>
    <cellStyle name="s_LBO_1_Base P&amp;L" xfId="1890"/>
    <cellStyle name="s_LBO_1_Capex" xfId="1891"/>
    <cellStyle name="s_LBO_1_China as on Dec 31 2008" xfId="1892"/>
    <cellStyle name="s_LBO_1_Customer Details" xfId="1893"/>
    <cellStyle name="s_LBO_1_Eco Metrics" xfId="1894"/>
    <cellStyle name="s_LBO_1_GC001-China-Aug06" xfId="1895"/>
    <cellStyle name="s_LBO_1_GC001-China-July06" xfId="1896"/>
    <cellStyle name="s_LBO_1_GC001-China-Oct06" xfId="1897"/>
    <cellStyle name="s_LBO_1_Pipeline" xfId="1898"/>
    <cellStyle name="s_LBO_1_Pullbacks" xfId="1899"/>
    <cellStyle name="s_LBO_2" xfId="1900"/>
    <cellStyle name="s_LBO_2 2" xfId="1901"/>
    <cellStyle name="s_LBO_2_Aing report" xfId="1902"/>
    <cellStyle name="s_LBO_2_AR" xfId="1903"/>
    <cellStyle name="s_LBO_2_Base HC" xfId="1904"/>
    <cellStyle name="s_LBO_2_Base P&amp;L" xfId="1905"/>
    <cellStyle name="s_LBO_2_Capex" xfId="1906"/>
    <cellStyle name="s_LBO_2_China as on Dec 31 2008" xfId="1907"/>
    <cellStyle name="s_LBO_2_Customer Details" xfId="1908"/>
    <cellStyle name="s_LBO_2_Eco Metrics" xfId="1909"/>
    <cellStyle name="s_LBO_2_GC001-China-Aug06" xfId="1910"/>
    <cellStyle name="s_LBO_2_GC001-China-July06" xfId="1911"/>
    <cellStyle name="s_LBO_2_GC001-China-Oct06" xfId="1912"/>
    <cellStyle name="s_LBO_2_Pipeline" xfId="1913"/>
    <cellStyle name="s_LBO_2_Pullbacks" xfId="1914"/>
    <cellStyle name="s_LBO_Aing report" xfId="1915"/>
    <cellStyle name="s_LBO_AR" xfId="1916"/>
    <cellStyle name="s_LBO_Base HC" xfId="1917"/>
    <cellStyle name="s_LBO_Base P&amp;L" xfId="1918"/>
    <cellStyle name="s_LBO_Capex" xfId="1919"/>
    <cellStyle name="s_LBO_China as on Dec 31 2008" xfId="1920"/>
    <cellStyle name="s_LBO_Customer Details" xfId="1921"/>
    <cellStyle name="s_LBO_Eco Metrics" xfId="1922"/>
    <cellStyle name="s_LBO_GC001-China-Aug06" xfId="1923"/>
    <cellStyle name="s_LBO_GC001-China-July06" xfId="1924"/>
    <cellStyle name="s_LBO_GC001-China-Oct06" xfId="1925"/>
    <cellStyle name="s_LBO_Pipeline" xfId="1926"/>
    <cellStyle name="s_LBO_Pullbacks" xfId="1927"/>
    <cellStyle name="s_Mary911" xfId="1928"/>
    <cellStyle name="s_Mary911 2" xfId="1929"/>
    <cellStyle name="s_Mary911_Aing report" xfId="1930"/>
    <cellStyle name="s_Mary911_AR" xfId="1931"/>
    <cellStyle name="s_Mary911_Base HC" xfId="1932"/>
    <cellStyle name="s_Mary911_Base P&amp;L" xfId="1933"/>
    <cellStyle name="s_Mary911_Capex" xfId="1934"/>
    <cellStyle name="s_Mary911_China as on Dec 31 2008" xfId="1935"/>
    <cellStyle name="s_Mary911_Customer Details" xfId="1936"/>
    <cellStyle name="s_Mary911_Eco Metrics" xfId="1937"/>
    <cellStyle name="s_Mary911_GC001-China-Aug06" xfId="1938"/>
    <cellStyle name="s_Mary911_GC001-China-July06" xfId="1939"/>
    <cellStyle name="s_Mary911_GC001-China-Oct06" xfId="1940"/>
    <cellStyle name="s_Mary911_Pipeline" xfId="1941"/>
    <cellStyle name="s_Mary911_Pullbacks" xfId="1942"/>
    <cellStyle name="s_Model0717" xfId="1943"/>
    <cellStyle name="s_Model0717 2" xfId="1944"/>
    <cellStyle name="s_Model0717_Aing report" xfId="1945"/>
    <cellStyle name="s_Model0717_AR" xfId="1946"/>
    <cellStyle name="s_Model0717_Base HC" xfId="1947"/>
    <cellStyle name="s_Model0717_Base P&amp;L" xfId="1948"/>
    <cellStyle name="s_Model0717_Capex" xfId="1949"/>
    <cellStyle name="s_Model0717_China as on Dec 31 2008" xfId="1950"/>
    <cellStyle name="s_Model0717_Customer Details" xfId="1951"/>
    <cellStyle name="s_Model0717_Eco Metrics" xfId="1952"/>
    <cellStyle name="s_Model0717_GC001-China-Aug06" xfId="1953"/>
    <cellStyle name="s_Model0717_GC001-China-July06" xfId="1954"/>
    <cellStyle name="s_Model0717_GC001-China-Oct06" xfId="1955"/>
    <cellStyle name="s_Model0717_Pipeline" xfId="1956"/>
    <cellStyle name="s_Model0717_Pullbacks" xfId="1957"/>
    <cellStyle name="s_PFMA Cap" xfId="1958"/>
    <cellStyle name="s_PFMA Cap 2" xfId="1959"/>
    <cellStyle name="s_PFMA Cap_1" xfId="1960"/>
    <cellStyle name="s_PFMA Cap_1 2" xfId="1961"/>
    <cellStyle name="s_PFMA Cap_1_Aing report" xfId="1962"/>
    <cellStyle name="s_PFMA Cap_1_AR" xfId="1963"/>
    <cellStyle name="s_PFMA Cap_1_Base HC" xfId="1964"/>
    <cellStyle name="s_PFMA Cap_1_Base P&amp;L" xfId="1965"/>
    <cellStyle name="s_PFMA Cap_1_Capex" xfId="1966"/>
    <cellStyle name="s_PFMA Cap_1_China as on Dec 31 2008" xfId="1967"/>
    <cellStyle name="s_PFMA Cap_1_Customer Details" xfId="1968"/>
    <cellStyle name="s_PFMA Cap_1_Eco Metrics" xfId="1969"/>
    <cellStyle name="s_PFMA Cap_1_GC001-China-Aug06" xfId="1970"/>
    <cellStyle name="s_PFMA Cap_1_GC001-China-July06" xfId="1971"/>
    <cellStyle name="s_PFMA Cap_1_GC001-China-Oct06" xfId="1972"/>
    <cellStyle name="s_PFMA Cap_1_Mary911" xfId="1973"/>
    <cellStyle name="s_PFMA Cap_1_Mary911 2" xfId="1974"/>
    <cellStyle name="s_PFMA Cap_1_Mary911_Aing report" xfId="1975"/>
    <cellStyle name="s_PFMA Cap_1_Mary911_AR" xfId="1976"/>
    <cellStyle name="s_PFMA Cap_1_Mary911_Base HC" xfId="1977"/>
    <cellStyle name="s_PFMA Cap_1_Mary911_Base P&amp;L" xfId="1978"/>
    <cellStyle name="s_PFMA Cap_1_Mary911_Capex" xfId="1979"/>
    <cellStyle name="s_PFMA Cap_1_Mary911_China as on Dec 31 2008" xfId="1980"/>
    <cellStyle name="s_PFMA Cap_1_Mary911_Customer Details" xfId="1981"/>
    <cellStyle name="s_PFMA Cap_1_Mary911_Eco Metrics" xfId="1982"/>
    <cellStyle name="s_PFMA Cap_1_Mary911_GC001-China-Aug06" xfId="1983"/>
    <cellStyle name="s_PFMA Cap_1_Mary911_GC001-China-July06" xfId="1984"/>
    <cellStyle name="s_PFMA Cap_1_Mary911_GC001-China-Oct06" xfId="1985"/>
    <cellStyle name="s_PFMA Cap_1_Mary911_Pipeline" xfId="1986"/>
    <cellStyle name="s_PFMA Cap_1_Mary911_Pullbacks" xfId="1987"/>
    <cellStyle name="s_PFMA Cap_1_mona0915a" xfId="1988"/>
    <cellStyle name="s_PFMA Cap_1_mona0915a 2" xfId="1989"/>
    <cellStyle name="s_PFMA Cap_1_mona0915a_Aing report" xfId="1990"/>
    <cellStyle name="s_PFMA Cap_1_mona0915a_AR" xfId="1991"/>
    <cellStyle name="s_PFMA Cap_1_mona0915a_Base HC" xfId="1992"/>
    <cellStyle name="s_PFMA Cap_1_mona0915a_Base P&amp;L" xfId="1993"/>
    <cellStyle name="s_PFMA Cap_1_mona0915a_Capex" xfId="1994"/>
    <cellStyle name="s_PFMA Cap_1_mona0915a_China as on Dec 31 2008" xfId="1995"/>
    <cellStyle name="s_PFMA Cap_1_mona0915a_Customer Details" xfId="1996"/>
    <cellStyle name="s_PFMA Cap_1_mona0915a_Eco Metrics" xfId="1997"/>
    <cellStyle name="s_PFMA Cap_1_mona0915a_GC001-China-Aug06" xfId="1998"/>
    <cellStyle name="s_PFMA Cap_1_mona0915a_GC001-China-July06" xfId="1999"/>
    <cellStyle name="s_PFMA Cap_1_mona0915a_GC001-China-Oct06" xfId="2000"/>
    <cellStyle name="s_PFMA Cap_1_mona0915a_Pipeline" xfId="2001"/>
    <cellStyle name="s_PFMA Cap_1_mona0915a_Pullbacks" xfId="2002"/>
    <cellStyle name="s_PFMA Cap_1_mona0915b" xfId="2003"/>
    <cellStyle name="s_PFMA Cap_1_mona0915b 2" xfId="2004"/>
    <cellStyle name="s_PFMA Cap_1_mona0915b_Aing report" xfId="2005"/>
    <cellStyle name="s_PFMA Cap_1_mona0915b_AR" xfId="2006"/>
    <cellStyle name="s_PFMA Cap_1_mona0915b_Base HC" xfId="2007"/>
    <cellStyle name="s_PFMA Cap_1_mona0915b_Base P&amp;L" xfId="2008"/>
    <cellStyle name="s_PFMA Cap_1_mona0915b_Capex" xfId="2009"/>
    <cellStyle name="s_PFMA Cap_1_mona0915b_China as on Dec 31 2008" xfId="2010"/>
    <cellStyle name="s_PFMA Cap_1_mona0915b_Customer Details" xfId="2011"/>
    <cellStyle name="s_PFMA Cap_1_mona0915b_Eco Metrics" xfId="2012"/>
    <cellStyle name="s_PFMA Cap_1_mona0915b_GC001-China-Aug06" xfId="2013"/>
    <cellStyle name="s_PFMA Cap_1_mona0915b_GC001-China-July06" xfId="2014"/>
    <cellStyle name="s_PFMA Cap_1_mona0915b_GC001-China-Oct06" xfId="2015"/>
    <cellStyle name="s_PFMA Cap_1_mona0915b_Pipeline" xfId="2016"/>
    <cellStyle name="s_PFMA Cap_1_mona0915b_Pullbacks" xfId="2017"/>
    <cellStyle name="s_PFMA Cap_1_Pipeline" xfId="2018"/>
    <cellStyle name="s_PFMA Cap_1_Pullbacks" xfId="2019"/>
    <cellStyle name="s_PFMA Cap_2" xfId="2020"/>
    <cellStyle name="s_PFMA Cap_2 2" xfId="2021"/>
    <cellStyle name="s_PFMA Cap_2_Aing report" xfId="2022"/>
    <cellStyle name="s_PFMA Cap_2_AR" xfId="2023"/>
    <cellStyle name="s_PFMA Cap_2_Base HC" xfId="2024"/>
    <cellStyle name="s_PFMA Cap_2_Base P&amp;L" xfId="2025"/>
    <cellStyle name="s_PFMA Cap_2_Capex" xfId="2026"/>
    <cellStyle name="s_PFMA Cap_2_China as on Dec 31 2008" xfId="2027"/>
    <cellStyle name="s_PFMA Cap_2_Customer Details" xfId="2028"/>
    <cellStyle name="s_PFMA Cap_2_Eco Metrics" xfId="2029"/>
    <cellStyle name="s_PFMA Cap_2_GC001-China-Aug06" xfId="2030"/>
    <cellStyle name="s_PFMA Cap_2_GC001-China-July06" xfId="2031"/>
    <cellStyle name="s_PFMA Cap_2_GC001-China-Oct06" xfId="2032"/>
    <cellStyle name="s_PFMA Cap_2_Pipeline" xfId="2033"/>
    <cellStyle name="s_PFMA Cap_2_Pullbacks" xfId="2034"/>
    <cellStyle name="s_PFMA Cap_Aing report" xfId="2035"/>
    <cellStyle name="s_PFMA Cap_AR" xfId="2036"/>
    <cellStyle name="s_PFMA Cap_Base HC" xfId="2037"/>
    <cellStyle name="s_PFMA Cap_Base P&amp;L" xfId="2038"/>
    <cellStyle name="s_PFMA Cap_Capex" xfId="2039"/>
    <cellStyle name="s_PFMA Cap_China as on Dec 31 2008" xfId="2040"/>
    <cellStyle name="s_PFMA Cap_Customer Details" xfId="2041"/>
    <cellStyle name="s_PFMA Cap_Eco Metrics" xfId="2042"/>
    <cellStyle name="s_PFMA Cap_GC001-China-Aug06" xfId="2043"/>
    <cellStyle name="s_PFMA Cap_GC001-China-July06" xfId="2044"/>
    <cellStyle name="s_PFMA Cap_GC001-China-Oct06" xfId="2045"/>
    <cellStyle name="s_PFMA Cap_Mary911" xfId="2046"/>
    <cellStyle name="s_PFMA Cap_Mary911 2" xfId="2047"/>
    <cellStyle name="s_PFMA Cap_Mary911_Aing report" xfId="2048"/>
    <cellStyle name="s_PFMA Cap_Mary911_AR" xfId="2049"/>
    <cellStyle name="s_PFMA Cap_Mary911_Base HC" xfId="2050"/>
    <cellStyle name="s_PFMA Cap_Mary911_Base P&amp;L" xfId="2051"/>
    <cellStyle name="s_PFMA Cap_Mary911_Capex" xfId="2052"/>
    <cellStyle name="s_PFMA Cap_Mary911_China as on Dec 31 2008" xfId="2053"/>
    <cellStyle name="s_PFMA Cap_Mary911_Customer Details" xfId="2054"/>
    <cellStyle name="s_PFMA Cap_Mary911_Eco Metrics" xfId="2055"/>
    <cellStyle name="s_PFMA Cap_Mary911_GC001-China-Aug06" xfId="2056"/>
    <cellStyle name="s_PFMA Cap_Mary911_GC001-China-July06" xfId="2057"/>
    <cellStyle name="s_PFMA Cap_Mary911_GC001-China-Oct06" xfId="2058"/>
    <cellStyle name="s_PFMA Cap_Mary911_Pipeline" xfId="2059"/>
    <cellStyle name="s_PFMA Cap_Mary911_Pullbacks" xfId="2060"/>
    <cellStyle name="s_PFMA Cap_mona0915a" xfId="2061"/>
    <cellStyle name="s_PFMA Cap_mona0915a 2" xfId="2062"/>
    <cellStyle name="s_PFMA Cap_mona0915a_Aing report" xfId="2063"/>
    <cellStyle name="s_PFMA Cap_mona0915a_AR" xfId="2064"/>
    <cellStyle name="s_PFMA Cap_mona0915a_Base HC" xfId="2065"/>
    <cellStyle name="s_PFMA Cap_mona0915a_Base P&amp;L" xfId="2066"/>
    <cellStyle name="s_PFMA Cap_mona0915a_Capex" xfId="2067"/>
    <cellStyle name="s_PFMA Cap_mona0915a_China as on Dec 31 2008" xfId="2068"/>
    <cellStyle name="s_PFMA Cap_mona0915a_Customer Details" xfId="2069"/>
    <cellStyle name="s_PFMA Cap_mona0915a_Eco Metrics" xfId="2070"/>
    <cellStyle name="s_PFMA Cap_mona0915a_GC001-China-Aug06" xfId="2071"/>
    <cellStyle name="s_PFMA Cap_mona0915a_GC001-China-July06" xfId="2072"/>
    <cellStyle name="s_PFMA Cap_mona0915a_GC001-China-Oct06" xfId="2073"/>
    <cellStyle name="s_PFMA Cap_mona0915a_Pipeline" xfId="2074"/>
    <cellStyle name="s_PFMA Cap_mona0915a_Pullbacks" xfId="2075"/>
    <cellStyle name="s_PFMA Cap_mona0915b" xfId="2076"/>
    <cellStyle name="s_PFMA Cap_mona0915b 2" xfId="2077"/>
    <cellStyle name="s_PFMA Cap_mona0915b_Aing report" xfId="2078"/>
    <cellStyle name="s_PFMA Cap_mona0915b_AR" xfId="2079"/>
    <cellStyle name="s_PFMA Cap_mona0915b_Base HC" xfId="2080"/>
    <cellStyle name="s_PFMA Cap_mona0915b_Base P&amp;L" xfId="2081"/>
    <cellStyle name="s_PFMA Cap_mona0915b_Capex" xfId="2082"/>
    <cellStyle name="s_PFMA Cap_mona0915b_China as on Dec 31 2008" xfId="2083"/>
    <cellStyle name="s_PFMA Cap_mona0915b_Customer Details" xfId="2084"/>
    <cellStyle name="s_PFMA Cap_mona0915b_Eco Metrics" xfId="2085"/>
    <cellStyle name="s_PFMA Cap_mona0915b_GC001-China-Aug06" xfId="2086"/>
    <cellStyle name="s_PFMA Cap_mona0915b_GC001-China-July06" xfId="2087"/>
    <cellStyle name="s_PFMA Cap_mona0915b_GC001-China-Oct06" xfId="2088"/>
    <cellStyle name="s_PFMA Cap_mona0915b_Pipeline" xfId="2089"/>
    <cellStyle name="s_PFMA Cap_mona0915b_Pullbacks" xfId="2090"/>
    <cellStyle name="s_PFMA Cap_Pipeline" xfId="2091"/>
    <cellStyle name="s_PFMA Cap_Pullbacks" xfId="2092"/>
    <cellStyle name="s_PFMA Credit" xfId="2093"/>
    <cellStyle name="s_PFMA Credit (2)" xfId="2094"/>
    <cellStyle name="s_PFMA Credit (2) 2" xfId="2095"/>
    <cellStyle name="s_PFMA Credit (2)_1" xfId="2096"/>
    <cellStyle name="s_PFMA Credit (2)_1 2" xfId="2097"/>
    <cellStyle name="s_PFMA Credit (2)_1_Aing report" xfId="2098"/>
    <cellStyle name="s_PFMA Credit (2)_1_AR" xfId="2099"/>
    <cellStyle name="s_PFMA Credit (2)_1_Base HC" xfId="2100"/>
    <cellStyle name="s_PFMA Credit (2)_1_Base P&amp;L" xfId="2101"/>
    <cellStyle name="s_PFMA Credit (2)_1_Capex" xfId="2102"/>
    <cellStyle name="s_PFMA Credit (2)_1_China as on Dec 31 2008" xfId="2103"/>
    <cellStyle name="s_PFMA Credit (2)_1_Customer Details" xfId="2104"/>
    <cellStyle name="s_PFMA Credit (2)_1_Eco Metrics" xfId="2105"/>
    <cellStyle name="s_PFMA Credit (2)_1_GC001-China-Aug06" xfId="2106"/>
    <cellStyle name="s_PFMA Credit (2)_1_GC001-China-July06" xfId="2107"/>
    <cellStyle name="s_PFMA Credit (2)_1_GC001-China-Oct06" xfId="2108"/>
    <cellStyle name="s_PFMA Credit (2)_1_Pipeline" xfId="2109"/>
    <cellStyle name="s_PFMA Credit (2)_1_Pullbacks" xfId="2110"/>
    <cellStyle name="s_PFMA Credit (2)_Aing report" xfId="2111"/>
    <cellStyle name="s_PFMA Credit (2)_AR" xfId="2112"/>
    <cellStyle name="s_PFMA Credit (2)_Base HC" xfId="2113"/>
    <cellStyle name="s_PFMA Credit (2)_Base P&amp;L" xfId="2114"/>
    <cellStyle name="s_PFMA Credit (2)_Capex" xfId="2115"/>
    <cellStyle name="s_PFMA Credit (2)_China as on Dec 31 2008" xfId="2116"/>
    <cellStyle name="s_PFMA Credit (2)_Customer Details" xfId="2117"/>
    <cellStyle name="s_PFMA Credit (2)_Eco Metrics" xfId="2118"/>
    <cellStyle name="s_PFMA Credit (2)_GC001-China-Aug06" xfId="2119"/>
    <cellStyle name="s_PFMA Credit (2)_GC001-China-July06" xfId="2120"/>
    <cellStyle name="s_PFMA Credit (2)_GC001-China-Oct06" xfId="2121"/>
    <cellStyle name="s_PFMA Credit (2)_PFMA Cap" xfId="2122"/>
    <cellStyle name="s_PFMA Credit (2)_PFMA Cap 2" xfId="2123"/>
    <cellStyle name="s_PFMA Credit (2)_PFMA Cap_Aing report" xfId="2124"/>
    <cellStyle name="s_PFMA Credit (2)_PFMA Cap_AR" xfId="2125"/>
    <cellStyle name="s_PFMA Credit (2)_PFMA Cap_Base HC" xfId="2126"/>
    <cellStyle name="s_PFMA Credit (2)_PFMA Cap_Base P&amp;L" xfId="2127"/>
    <cellStyle name="s_PFMA Credit (2)_PFMA Cap_Capex" xfId="2128"/>
    <cellStyle name="s_PFMA Credit (2)_PFMA Cap_China as on Dec 31 2008" xfId="2129"/>
    <cellStyle name="s_PFMA Credit (2)_PFMA Cap_Customer Details" xfId="2130"/>
    <cellStyle name="s_PFMA Credit (2)_PFMA Cap_Eco Metrics" xfId="2131"/>
    <cellStyle name="s_PFMA Credit (2)_PFMA Cap_GC001-China-Aug06" xfId="2132"/>
    <cellStyle name="s_PFMA Credit (2)_PFMA Cap_GC001-China-July06" xfId="2133"/>
    <cellStyle name="s_PFMA Credit (2)_PFMA Cap_GC001-China-Oct06" xfId="2134"/>
    <cellStyle name="s_PFMA Credit (2)_PFMA Cap_Pipeline" xfId="2135"/>
    <cellStyle name="s_PFMA Credit (2)_PFMA Cap_Pullbacks" xfId="2136"/>
    <cellStyle name="s_PFMA Credit (2)_Pipeline" xfId="2137"/>
    <cellStyle name="s_PFMA Credit (2)_Pullbacks" xfId="2138"/>
    <cellStyle name="s_PFMA Credit 2" xfId="2139"/>
    <cellStyle name="s_PFMA Credit 3" xfId="2140"/>
    <cellStyle name="s_PFMA Credit 4" xfId="2141"/>
    <cellStyle name="s_PFMA Credit 5" xfId="2142"/>
    <cellStyle name="s_PFMA Credit_1" xfId="2143"/>
    <cellStyle name="s_PFMA Credit_1 2" xfId="2144"/>
    <cellStyle name="s_PFMA Credit_1_Aing report" xfId="2145"/>
    <cellStyle name="s_PFMA Credit_1_AR" xfId="2146"/>
    <cellStyle name="s_PFMA Credit_1_Base HC" xfId="2147"/>
    <cellStyle name="s_PFMA Credit_1_Base P&amp;L" xfId="2148"/>
    <cellStyle name="s_PFMA Credit_1_Capex" xfId="2149"/>
    <cellStyle name="s_PFMA Credit_1_China as on Dec 31 2008" xfId="2150"/>
    <cellStyle name="s_PFMA Credit_1_Customer Details" xfId="2151"/>
    <cellStyle name="s_PFMA Credit_1_Eco Metrics" xfId="2152"/>
    <cellStyle name="s_PFMA Credit_1_GC001-China-Aug06" xfId="2153"/>
    <cellStyle name="s_PFMA Credit_1_GC001-China-July06" xfId="2154"/>
    <cellStyle name="s_PFMA Credit_1_GC001-China-Oct06" xfId="2155"/>
    <cellStyle name="s_PFMA Credit_1_Pipeline" xfId="2156"/>
    <cellStyle name="s_PFMA Credit_1_Pullbacks" xfId="2157"/>
    <cellStyle name="s_PFMA Credit_2" xfId="2158"/>
    <cellStyle name="s_PFMA Credit_2 2" xfId="2159"/>
    <cellStyle name="s_PFMA Credit_2_Aing report" xfId="2160"/>
    <cellStyle name="s_PFMA Credit_2_AR" xfId="2161"/>
    <cellStyle name="s_PFMA Credit_2_Base HC" xfId="2162"/>
    <cellStyle name="s_PFMA Credit_2_Base P&amp;L" xfId="2163"/>
    <cellStyle name="s_PFMA Credit_2_Capex" xfId="2164"/>
    <cellStyle name="s_PFMA Credit_2_China as on Dec 31 2008" xfId="2165"/>
    <cellStyle name="s_PFMA Credit_2_Customer Details" xfId="2166"/>
    <cellStyle name="s_PFMA Credit_2_Eco Metrics" xfId="2167"/>
    <cellStyle name="s_PFMA Credit_2_GC001-China-Aug06" xfId="2168"/>
    <cellStyle name="s_PFMA Credit_2_GC001-China-July06" xfId="2169"/>
    <cellStyle name="s_PFMA Credit_2_GC001-China-Oct06" xfId="2170"/>
    <cellStyle name="s_PFMA Credit_2_Pipeline" xfId="2171"/>
    <cellStyle name="s_PFMA Credit_2_Pullbacks" xfId="2172"/>
    <cellStyle name="s_PFMA Credit_Aing report" xfId="2173"/>
    <cellStyle name="s_PFMA Credit_AR" xfId="2174"/>
    <cellStyle name="s_PFMA Credit_Base HC" xfId="2175"/>
    <cellStyle name="s_PFMA Credit_Base P&amp;L" xfId="2176"/>
    <cellStyle name="s_PFMA Credit_Capex" xfId="2177"/>
    <cellStyle name="s_PFMA Credit_China as on Dec 31 2008" xfId="2178"/>
    <cellStyle name="s_PFMA Credit_Customer Details" xfId="2179"/>
    <cellStyle name="s_PFMA Credit_Eco Metrics" xfId="2180"/>
    <cellStyle name="s_PFMA Credit_GC001-China-Aug06" xfId="2181"/>
    <cellStyle name="s_PFMA Credit_GC001-China-July06" xfId="2182"/>
    <cellStyle name="s_PFMA Credit_GC001-China-Oct06" xfId="2183"/>
    <cellStyle name="s_PFMA Credit_Pipeline" xfId="2184"/>
    <cellStyle name="s_PFMA Credit_Pullbacks" xfId="2185"/>
    <cellStyle name="s_PFMA Fin Sum" xfId="2186"/>
    <cellStyle name="s_PFMA Fin Sum 2" xfId="2187"/>
    <cellStyle name="s_PFMA Fin Sum_1" xfId="2188"/>
    <cellStyle name="s_PFMA Fin Sum_1 2" xfId="2189"/>
    <cellStyle name="s_PFMA Fin Sum_1_Aing report" xfId="2190"/>
    <cellStyle name="s_PFMA Fin Sum_1_AR" xfId="2191"/>
    <cellStyle name="s_PFMA Fin Sum_1_Base HC" xfId="2192"/>
    <cellStyle name="s_PFMA Fin Sum_1_Base P&amp;L" xfId="2193"/>
    <cellStyle name="s_PFMA Fin Sum_1_Capex" xfId="2194"/>
    <cellStyle name="s_PFMA Fin Sum_1_China as on Dec 31 2008" xfId="2195"/>
    <cellStyle name="s_PFMA Fin Sum_1_Customer Details" xfId="2196"/>
    <cellStyle name="s_PFMA Fin Sum_1_Eco Metrics" xfId="2197"/>
    <cellStyle name="s_PFMA Fin Sum_1_GC001-China-Aug06" xfId="2198"/>
    <cellStyle name="s_PFMA Fin Sum_1_GC001-China-July06" xfId="2199"/>
    <cellStyle name="s_PFMA Fin Sum_1_GC001-China-Oct06" xfId="2200"/>
    <cellStyle name="s_PFMA Fin Sum_1_Pipeline" xfId="2201"/>
    <cellStyle name="s_PFMA Fin Sum_1_Pullbacks" xfId="2202"/>
    <cellStyle name="s_PFMA Fin Sum_2" xfId="2203"/>
    <cellStyle name="s_PFMA Fin Sum_2 2" xfId="2204"/>
    <cellStyle name="s_PFMA Fin Sum_2_Aing report" xfId="2205"/>
    <cellStyle name="s_PFMA Fin Sum_2_AR" xfId="2206"/>
    <cellStyle name="s_PFMA Fin Sum_2_Base HC" xfId="2207"/>
    <cellStyle name="s_PFMA Fin Sum_2_Base P&amp;L" xfId="2208"/>
    <cellStyle name="s_PFMA Fin Sum_2_Capex" xfId="2209"/>
    <cellStyle name="s_PFMA Fin Sum_2_China as on Dec 31 2008" xfId="2210"/>
    <cellStyle name="s_PFMA Fin Sum_2_Customer Details" xfId="2211"/>
    <cellStyle name="s_PFMA Fin Sum_2_Eco Metrics" xfId="2212"/>
    <cellStyle name="s_PFMA Fin Sum_2_GC001-China-Aug06" xfId="2213"/>
    <cellStyle name="s_PFMA Fin Sum_2_GC001-China-July06" xfId="2214"/>
    <cellStyle name="s_PFMA Fin Sum_2_GC001-China-Oct06" xfId="2215"/>
    <cellStyle name="s_PFMA Fin Sum_2_Pipeline" xfId="2216"/>
    <cellStyle name="s_PFMA Fin Sum_2_Pullbacks" xfId="2217"/>
    <cellStyle name="s_PFMA Fin Sum_Aing report" xfId="2218"/>
    <cellStyle name="s_PFMA Fin Sum_AR" xfId="2219"/>
    <cellStyle name="s_PFMA Fin Sum_Base HC" xfId="2220"/>
    <cellStyle name="s_PFMA Fin Sum_Base P&amp;L" xfId="2221"/>
    <cellStyle name="s_PFMA Fin Sum_Capex" xfId="2222"/>
    <cellStyle name="s_PFMA Fin Sum_China as on Dec 31 2008" xfId="2223"/>
    <cellStyle name="s_PFMA Fin Sum_Customer Details" xfId="2224"/>
    <cellStyle name="s_PFMA Fin Sum_Eco Metrics" xfId="2225"/>
    <cellStyle name="s_PFMA Fin Sum_GC001-China-Aug06" xfId="2226"/>
    <cellStyle name="s_PFMA Fin Sum_GC001-China-July06" xfId="2227"/>
    <cellStyle name="s_PFMA Fin Sum_GC001-China-Oct06" xfId="2228"/>
    <cellStyle name="s_PFMA Fin Sum_Pipeline" xfId="2229"/>
    <cellStyle name="s_PFMA Fin Sum_Pullbacks" xfId="2230"/>
    <cellStyle name="s_PFMA Statements" xfId="2231"/>
    <cellStyle name="s_PFMA Statements 2" xfId="2232"/>
    <cellStyle name="s_PFMA Statements_1" xfId="2233"/>
    <cellStyle name="s_PFMA Statements_1 2" xfId="2234"/>
    <cellStyle name="s_PFMA Statements_1_Aing report" xfId="2235"/>
    <cellStyle name="s_PFMA Statements_1_AR" xfId="2236"/>
    <cellStyle name="s_PFMA Statements_1_Base HC" xfId="2237"/>
    <cellStyle name="s_PFMA Statements_1_Base P&amp;L" xfId="2238"/>
    <cellStyle name="s_PFMA Statements_1_Capex" xfId="2239"/>
    <cellStyle name="s_PFMA Statements_1_China as on Dec 31 2008" xfId="2240"/>
    <cellStyle name="s_PFMA Statements_1_Customer Details" xfId="2241"/>
    <cellStyle name="s_PFMA Statements_1_Eco Metrics" xfId="2242"/>
    <cellStyle name="s_PFMA Statements_1_GC001-China-Aug06" xfId="2243"/>
    <cellStyle name="s_PFMA Statements_1_GC001-China-July06" xfId="2244"/>
    <cellStyle name="s_PFMA Statements_1_GC001-China-Oct06" xfId="2245"/>
    <cellStyle name="s_PFMA Statements_1_Pipeline" xfId="2246"/>
    <cellStyle name="s_PFMA Statements_1_Pullbacks" xfId="2247"/>
    <cellStyle name="s_PFMA Statements_2" xfId="2248"/>
    <cellStyle name="s_PFMA Statements_2 2" xfId="2249"/>
    <cellStyle name="s_PFMA Statements_2_Aing report" xfId="2250"/>
    <cellStyle name="s_PFMA Statements_2_AR" xfId="2251"/>
    <cellStyle name="s_PFMA Statements_2_Base HC" xfId="2252"/>
    <cellStyle name="s_PFMA Statements_2_Base P&amp;L" xfId="2253"/>
    <cellStyle name="s_PFMA Statements_2_Capex" xfId="2254"/>
    <cellStyle name="s_PFMA Statements_2_China as on Dec 31 2008" xfId="2255"/>
    <cellStyle name="s_PFMA Statements_2_Customer Details" xfId="2256"/>
    <cellStyle name="s_PFMA Statements_2_Eco Metrics" xfId="2257"/>
    <cellStyle name="s_PFMA Statements_2_GC001-China-Aug06" xfId="2258"/>
    <cellStyle name="s_PFMA Statements_2_GC001-China-July06" xfId="2259"/>
    <cellStyle name="s_PFMA Statements_2_GC001-China-Oct06" xfId="2260"/>
    <cellStyle name="s_PFMA Statements_2_Pipeline" xfId="2261"/>
    <cellStyle name="s_PFMA Statements_2_Pullbacks" xfId="2262"/>
    <cellStyle name="s_PFMA Statements_Aing report" xfId="2263"/>
    <cellStyle name="s_PFMA Statements_AR" xfId="2264"/>
    <cellStyle name="s_PFMA Statements_Base HC" xfId="2265"/>
    <cellStyle name="s_PFMA Statements_Base P&amp;L" xfId="2266"/>
    <cellStyle name="s_PFMA Statements_Capex" xfId="2267"/>
    <cellStyle name="s_PFMA Statements_China as on Dec 31 2008" xfId="2268"/>
    <cellStyle name="s_PFMA Statements_Customer Details" xfId="2269"/>
    <cellStyle name="s_PFMA Statements_Eco Metrics" xfId="2270"/>
    <cellStyle name="s_PFMA Statements_GC001-China-Aug06" xfId="2271"/>
    <cellStyle name="s_PFMA Statements_GC001-China-July06" xfId="2272"/>
    <cellStyle name="s_PFMA Statements_GC001-China-Oct06" xfId="2273"/>
    <cellStyle name="s_PFMA Statements_Pipeline" xfId="2274"/>
    <cellStyle name="s_PFMA Statements_Pullbacks" xfId="2275"/>
    <cellStyle name="s_Pipeline" xfId="2276"/>
    <cellStyle name="s_Proj Graph" xfId="2277"/>
    <cellStyle name="s_Proj Graph 2" xfId="2278"/>
    <cellStyle name="s_Proj Graph_1" xfId="2279"/>
    <cellStyle name="s_Proj Graph_1 2" xfId="2280"/>
    <cellStyle name="s_Proj Graph_1_Aing report" xfId="2281"/>
    <cellStyle name="s_Proj Graph_1_AR" xfId="2282"/>
    <cellStyle name="s_Proj Graph_1_Base HC" xfId="2283"/>
    <cellStyle name="s_Proj Graph_1_Base P&amp;L" xfId="2284"/>
    <cellStyle name="s_Proj Graph_1_Capex" xfId="2285"/>
    <cellStyle name="s_Proj Graph_1_China as on Dec 31 2008" xfId="2286"/>
    <cellStyle name="s_Proj Graph_1_Customer Details" xfId="2287"/>
    <cellStyle name="s_Proj Graph_1_Eco Metrics" xfId="2288"/>
    <cellStyle name="s_Proj Graph_1_GC001-China-Aug06" xfId="2289"/>
    <cellStyle name="s_Proj Graph_1_GC001-China-July06" xfId="2290"/>
    <cellStyle name="s_Proj Graph_1_GC001-China-Oct06" xfId="2291"/>
    <cellStyle name="s_Proj Graph_1_Pipeline" xfId="2292"/>
    <cellStyle name="s_Proj Graph_1_Pullbacks" xfId="2293"/>
    <cellStyle name="s_Proj Graph_2" xfId="2294"/>
    <cellStyle name="s_Proj Graph_2 2" xfId="2295"/>
    <cellStyle name="s_Proj Graph_2_Aing report" xfId="2296"/>
    <cellStyle name="s_Proj Graph_2_AR" xfId="2297"/>
    <cellStyle name="s_Proj Graph_2_Base HC" xfId="2298"/>
    <cellStyle name="s_Proj Graph_2_Base P&amp;L" xfId="2299"/>
    <cellStyle name="s_Proj Graph_2_Capex" xfId="2300"/>
    <cellStyle name="s_Proj Graph_2_China as on Dec 31 2008" xfId="2301"/>
    <cellStyle name="s_Proj Graph_2_Customer Details" xfId="2302"/>
    <cellStyle name="s_Proj Graph_2_Eco Metrics" xfId="2303"/>
    <cellStyle name="s_Proj Graph_2_GC001-China-Aug06" xfId="2304"/>
    <cellStyle name="s_Proj Graph_2_GC001-China-July06" xfId="2305"/>
    <cellStyle name="s_Proj Graph_2_GC001-China-Oct06" xfId="2306"/>
    <cellStyle name="s_Proj Graph_2_Pipeline" xfId="2307"/>
    <cellStyle name="s_Proj Graph_2_Pullbacks" xfId="2308"/>
    <cellStyle name="s_Proj Graph_Aing report" xfId="2309"/>
    <cellStyle name="s_Proj Graph_AR" xfId="2310"/>
    <cellStyle name="s_Proj Graph_Base HC" xfId="2311"/>
    <cellStyle name="s_Proj Graph_Base P&amp;L" xfId="2312"/>
    <cellStyle name="s_Proj Graph_Capex" xfId="2313"/>
    <cellStyle name="s_Proj Graph_China as on Dec 31 2008" xfId="2314"/>
    <cellStyle name="s_Proj Graph_Customer Details" xfId="2315"/>
    <cellStyle name="s_Proj Graph_Eco Metrics" xfId="2316"/>
    <cellStyle name="s_Proj Graph_GC001-China-Aug06" xfId="2317"/>
    <cellStyle name="s_Proj Graph_GC001-China-July06" xfId="2318"/>
    <cellStyle name="s_Proj Graph_GC001-China-Oct06" xfId="2319"/>
    <cellStyle name="s_Proj Graph_Pipeline" xfId="2320"/>
    <cellStyle name="s_Proj Graph_Pullbacks" xfId="2321"/>
    <cellStyle name="s_Pullbacks" xfId="2322"/>
    <cellStyle name="s_REVISE24" xfId="2323"/>
    <cellStyle name="s_REVISE24 2" xfId="2324"/>
    <cellStyle name="s_REVISE24_Aing report" xfId="2325"/>
    <cellStyle name="s_REVISE24_AR" xfId="2326"/>
    <cellStyle name="s_REVISE24_Base HC" xfId="2327"/>
    <cellStyle name="s_REVISE24_Base P&amp;L" xfId="2328"/>
    <cellStyle name="s_REVISE24_Capex" xfId="2329"/>
    <cellStyle name="s_REVISE24_China as on Dec 31 2008" xfId="2330"/>
    <cellStyle name="s_REVISE24_Customer Details" xfId="2331"/>
    <cellStyle name="s_REVISE24_Eco Metrics" xfId="2332"/>
    <cellStyle name="s_REVISE24_GC001-China-Aug06" xfId="2333"/>
    <cellStyle name="s_REVISE24_GC001-China-July06" xfId="2334"/>
    <cellStyle name="s_REVISE24_GC001-China-Oct06" xfId="2335"/>
    <cellStyle name="s_REVISE24_Pipeline" xfId="2336"/>
    <cellStyle name="s_REVISE24_Pullbacks" xfId="2337"/>
    <cellStyle name="s_Schedules" xfId="2338"/>
    <cellStyle name="s_Schedules 2" xfId="2339"/>
    <cellStyle name="s_Schedules_1" xfId="2340"/>
    <cellStyle name="s_Schedules_1 2" xfId="2341"/>
    <cellStyle name="s_Schedules_1_Aing report" xfId="2342"/>
    <cellStyle name="s_Schedules_1_AM0909" xfId="2343"/>
    <cellStyle name="s_Schedules_1_AM0909 2" xfId="2344"/>
    <cellStyle name="s_Schedules_1_AM0909_Aing report" xfId="2345"/>
    <cellStyle name="s_Schedules_1_AM0909_AR" xfId="2346"/>
    <cellStyle name="s_Schedules_1_AM0909_Base HC" xfId="2347"/>
    <cellStyle name="s_Schedules_1_AM0909_Base P&amp;L" xfId="2348"/>
    <cellStyle name="s_Schedules_1_AM0909_Capex" xfId="2349"/>
    <cellStyle name="s_Schedules_1_AM0909_China as on Dec 31 2008" xfId="2350"/>
    <cellStyle name="s_Schedules_1_AM0909_Customer Details" xfId="2351"/>
    <cellStyle name="s_Schedules_1_AM0909_Eco Metrics" xfId="2352"/>
    <cellStyle name="s_Schedules_1_AM0909_GC001-China-Aug06" xfId="2353"/>
    <cellStyle name="s_Schedules_1_AM0909_GC001-China-July06" xfId="2354"/>
    <cellStyle name="s_Schedules_1_AM0909_GC001-China-Oct06" xfId="2355"/>
    <cellStyle name="s_Schedules_1_AM0909_Pipeline" xfId="2356"/>
    <cellStyle name="s_Schedules_1_AM0909_Pullbacks" xfId="2357"/>
    <cellStyle name="s_Schedules_1_AR" xfId="2358"/>
    <cellStyle name="s_Schedules_1_Base HC" xfId="2359"/>
    <cellStyle name="s_Schedules_1_Base P&amp;L" xfId="2360"/>
    <cellStyle name="s_Schedules_1_Capex" xfId="2361"/>
    <cellStyle name="s_Schedules_1_China as on Dec 31 2008" xfId="2362"/>
    <cellStyle name="s_Schedules_1_Customer Details" xfId="2363"/>
    <cellStyle name="s_Schedules_1_Eco Metrics" xfId="2364"/>
    <cellStyle name="s_Schedules_1_GC001-China-Aug06" xfId="2365"/>
    <cellStyle name="s_Schedules_1_GC001-China-July06" xfId="2366"/>
    <cellStyle name="s_Schedules_1_GC001-China-Oct06" xfId="2367"/>
    <cellStyle name="s_Schedules_1_Pipeline" xfId="2368"/>
    <cellStyle name="s_Schedules_1_Pullbacks" xfId="2369"/>
    <cellStyle name="s_Schedules_2" xfId="2370"/>
    <cellStyle name="s_Schedules_2 2" xfId="2371"/>
    <cellStyle name="s_Schedules_2_Aing report" xfId="2372"/>
    <cellStyle name="s_Schedules_2_AR" xfId="2373"/>
    <cellStyle name="s_Schedules_2_Base HC" xfId="2374"/>
    <cellStyle name="s_Schedules_2_Base P&amp;L" xfId="2375"/>
    <cellStyle name="s_Schedules_2_Capex" xfId="2376"/>
    <cellStyle name="s_Schedules_2_China as on Dec 31 2008" xfId="2377"/>
    <cellStyle name="s_Schedules_2_Customer Details" xfId="2378"/>
    <cellStyle name="s_Schedules_2_Eco Metrics" xfId="2379"/>
    <cellStyle name="s_Schedules_2_GC001-China-Aug06" xfId="2380"/>
    <cellStyle name="s_Schedules_2_GC001-China-July06" xfId="2381"/>
    <cellStyle name="s_Schedules_2_GC001-China-Oct06" xfId="2382"/>
    <cellStyle name="s_Schedules_2_Pipeline" xfId="2383"/>
    <cellStyle name="s_Schedules_2_Pullbacks" xfId="2384"/>
    <cellStyle name="s_Schedules_Aing report" xfId="2385"/>
    <cellStyle name="s_Schedules_AM0909" xfId="2386"/>
    <cellStyle name="s_Schedules_AM0909 2" xfId="2387"/>
    <cellStyle name="s_Schedules_AM0909_Aing report" xfId="2388"/>
    <cellStyle name="s_Schedules_AM0909_AR" xfId="2389"/>
    <cellStyle name="s_Schedules_AM0909_Base HC" xfId="2390"/>
    <cellStyle name="s_Schedules_AM0909_Base P&amp;L" xfId="2391"/>
    <cellStyle name="s_Schedules_AM0909_Capex" xfId="2392"/>
    <cellStyle name="s_Schedules_AM0909_China as on Dec 31 2008" xfId="2393"/>
    <cellStyle name="s_Schedules_AM0909_Customer Details" xfId="2394"/>
    <cellStyle name="s_Schedules_AM0909_Eco Metrics" xfId="2395"/>
    <cellStyle name="s_Schedules_AM0909_GC001-China-Aug06" xfId="2396"/>
    <cellStyle name="s_Schedules_AM0909_GC001-China-July06" xfId="2397"/>
    <cellStyle name="s_Schedules_AM0909_GC001-China-Oct06" xfId="2398"/>
    <cellStyle name="s_Schedules_AM0909_Pipeline" xfId="2399"/>
    <cellStyle name="s_Schedules_AM0909_Pullbacks" xfId="2400"/>
    <cellStyle name="s_Schedules_AR" xfId="2401"/>
    <cellStyle name="s_Schedules_Base HC" xfId="2402"/>
    <cellStyle name="s_Schedules_Base P&amp;L" xfId="2403"/>
    <cellStyle name="s_Schedules_Capex" xfId="2404"/>
    <cellStyle name="s_Schedules_China as on Dec 31 2008" xfId="2405"/>
    <cellStyle name="s_Schedules_Customer Details" xfId="2406"/>
    <cellStyle name="s_Schedules_Eco Metrics" xfId="2407"/>
    <cellStyle name="s_Schedules_GC001-China-Aug06" xfId="2408"/>
    <cellStyle name="s_Schedules_GC001-China-July06" xfId="2409"/>
    <cellStyle name="s_Schedules_GC001-China-Oct06" xfId="2410"/>
    <cellStyle name="s_Schedules_Pipeline" xfId="2411"/>
    <cellStyle name="s_Schedules_Pullbacks" xfId="2412"/>
    <cellStyle name="s_Standalone" xfId="2413"/>
    <cellStyle name="s_Standalone 2" xfId="2414"/>
    <cellStyle name="s_Standalone_1" xfId="2415"/>
    <cellStyle name="s_Standalone_1 2" xfId="2416"/>
    <cellStyle name="s_Standalone_1_Aing report" xfId="2417"/>
    <cellStyle name="s_Standalone_1_AR" xfId="2418"/>
    <cellStyle name="s_Standalone_1_Base HC" xfId="2419"/>
    <cellStyle name="s_Standalone_1_Base P&amp;L" xfId="2420"/>
    <cellStyle name="s_Standalone_1_Capex" xfId="2421"/>
    <cellStyle name="s_Standalone_1_China as on Dec 31 2008" xfId="2422"/>
    <cellStyle name="s_Standalone_1_Customer Details" xfId="2423"/>
    <cellStyle name="s_Standalone_1_Eco Metrics" xfId="2424"/>
    <cellStyle name="s_Standalone_1_GC001-China-Aug06" xfId="2425"/>
    <cellStyle name="s_Standalone_1_GC001-China-July06" xfId="2426"/>
    <cellStyle name="s_Standalone_1_GC001-China-Oct06" xfId="2427"/>
    <cellStyle name="s_Standalone_1_Pipeline" xfId="2428"/>
    <cellStyle name="s_Standalone_1_Pullbacks" xfId="2429"/>
    <cellStyle name="s_Standalone_2" xfId="2430"/>
    <cellStyle name="s_Standalone_2 2" xfId="2431"/>
    <cellStyle name="s_Standalone_2_Aing report" xfId="2432"/>
    <cellStyle name="s_Standalone_2_AR" xfId="2433"/>
    <cellStyle name="s_Standalone_2_Base HC" xfId="2434"/>
    <cellStyle name="s_Standalone_2_Base P&amp;L" xfId="2435"/>
    <cellStyle name="s_Standalone_2_Capex" xfId="2436"/>
    <cellStyle name="s_Standalone_2_China as on Dec 31 2008" xfId="2437"/>
    <cellStyle name="s_Standalone_2_Customer Details" xfId="2438"/>
    <cellStyle name="s_Standalone_2_Eco Metrics" xfId="2439"/>
    <cellStyle name="s_Standalone_2_GC001-China-Aug06" xfId="2440"/>
    <cellStyle name="s_Standalone_2_GC001-China-July06" xfId="2441"/>
    <cellStyle name="s_Standalone_2_GC001-China-Oct06" xfId="2442"/>
    <cellStyle name="s_Standalone_2_Pipeline" xfId="2443"/>
    <cellStyle name="s_Standalone_2_Pullbacks" xfId="2444"/>
    <cellStyle name="s_Standalone_Aing report" xfId="2445"/>
    <cellStyle name="s_Standalone_AR" xfId="2446"/>
    <cellStyle name="s_Standalone_Base HC" xfId="2447"/>
    <cellStyle name="s_Standalone_Base P&amp;L" xfId="2448"/>
    <cellStyle name="s_Standalone_Capex" xfId="2449"/>
    <cellStyle name="s_Standalone_China as on Dec 31 2008" xfId="2450"/>
    <cellStyle name="s_Standalone_Customer Details" xfId="2451"/>
    <cellStyle name="s_Standalone_Eco Metrics" xfId="2452"/>
    <cellStyle name="s_Standalone_GC001-China-Aug06" xfId="2453"/>
    <cellStyle name="s_Standalone_GC001-China-July06" xfId="2454"/>
    <cellStyle name="s_Standalone_GC001-China-Oct06" xfId="2455"/>
    <cellStyle name="s_Standalone_Pipeline" xfId="2456"/>
    <cellStyle name="s_Standalone_Pullbacks" xfId="2457"/>
    <cellStyle name="s_Trading Val Calc" xfId="2458"/>
    <cellStyle name="s_Trading Val Calc 2" xfId="2459"/>
    <cellStyle name="s_Trading Val Calc_1" xfId="2460"/>
    <cellStyle name="s_Trading Val Calc_1 2" xfId="2461"/>
    <cellStyle name="s_Trading Val Calc_1_Aing report" xfId="2462"/>
    <cellStyle name="s_Trading Val Calc_1_AR" xfId="2463"/>
    <cellStyle name="s_Trading Val Calc_1_Base HC" xfId="2464"/>
    <cellStyle name="s_Trading Val Calc_1_Base P&amp;L" xfId="2465"/>
    <cellStyle name="s_Trading Val Calc_1_Capex" xfId="2466"/>
    <cellStyle name="s_Trading Val Calc_1_China as on Dec 31 2008" xfId="2467"/>
    <cellStyle name="s_Trading Val Calc_1_Customer Details" xfId="2468"/>
    <cellStyle name="s_Trading Val Calc_1_Eco Metrics" xfId="2469"/>
    <cellStyle name="s_Trading Val Calc_1_GC001-China-Aug06" xfId="2470"/>
    <cellStyle name="s_Trading Val Calc_1_GC001-China-July06" xfId="2471"/>
    <cellStyle name="s_Trading Val Calc_1_GC001-China-Oct06" xfId="2472"/>
    <cellStyle name="s_Trading Val Calc_1_Pipeline" xfId="2473"/>
    <cellStyle name="s_Trading Val Calc_1_Pullbacks" xfId="2474"/>
    <cellStyle name="s_Trading Val Calc_2" xfId="2475"/>
    <cellStyle name="s_Trading Val Calc_2 2" xfId="2476"/>
    <cellStyle name="s_Trading Val Calc_2_Aing report" xfId="2477"/>
    <cellStyle name="s_Trading Val Calc_2_AR" xfId="2478"/>
    <cellStyle name="s_Trading Val Calc_2_Base HC" xfId="2479"/>
    <cellStyle name="s_Trading Val Calc_2_Base P&amp;L" xfId="2480"/>
    <cellStyle name="s_Trading Val Calc_2_Capex" xfId="2481"/>
    <cellStyle name="s_Trading Val Calc_2_China as on Dec 31 2008" xfId="2482"/>
    <cellStyle name="s_Trading Val Calc_2_Customer Details" xfId="2483"/>
    <cellStyle name="s_Trading Val Calc_2_Eco Metrics" xfId="2484"/>
    <cellStyle name="s_Trading Val Calc_2_GC001-China-Aug06" xfId="2485"/>
    <cellStyle name="s_Trading Val Calc_2_GC001-China-July06" xfId="2486"/>
    <cellStyle name="s_Trading Val Calc_2_GC001-China-Oct06" xfId="2487"/>
    <cellStyle name="s_Trading Val Calc_2_Pipeline" xfId="2488"/>
    <cellStyle name="s_Trading Val Calc_2_Pullbacks" xfId="2489"/>
    <cellStyle name="s_Trading Val Calc_Aing report" xfId="2490"/>
    <cellStyle name="s_Trading Val Calc_AM0909" xfId="2491"/>
    <cellStyle name="s_Trading Val Calc_AM0909 2" xfId="2492"/>
    <cellStyle name="s_Trading Val Calc_AM0909_Aing report" xfId="2493"/>
    <cellStyle name="s_Trading Val Calc_AM0909_AR" xfId="2494"/>
    <cellStyle name="s_Trading Val Calc_AM0909_Base HC" xfId="2495"/>
    <cellStyle name="s_Trading Val Calc_AM0909_Base P&amp;L" xfId="2496"/>
    <cellStyle name="s_Trading Val Calc_AM0909_Capex" xfId="2497"/>
    <cellStyle name="s_Trading Val Calc_AM0909_China as on Dec 31 2008" xfId="2498"/>
    <cellStyle name="s_Trading Val Calc_AM0909_Customer Details" xfId="2499"/>
    <cellStyle name="s_Trading Val Calc_AM0909_Eco Metrics" xfId="2500"/>
    <cellStyle name="s_Trading Val Calc_AM0909_GC001-China-Aug06" xfId="2501"/>
    <cellStyle name="s_Trading Val Calc_AM0909_GC001-China-July06" xfId="2502"/>
    <cellStyle name="s_Trading Val Calc_AM0909_GC001-China-Oct06" xfId="2503"/>
    <cellStyle name="s_Trading Val Calc_AM0909_Pipeline" xfId="2504"/>
    <cellStyle name="s_Trading Val Calc_AM0909_Pullbacks" xfId="2505"/>
    <cellStyle name="s_Trading Val Calc_AR" xfId="2506"/>
    <cellStyle name="s_Trading Val Calc_Base HC" xfId="2507"/>
    <cellStyle name="s_Trading Val Calc_Base P&amp;L" xfId="2508"/>
    <cellStyle name="s_Trading Val Calc_Capex" xfId="2509"/>
    <cellStyle name="s_Trading Val Calc_China as on Dec 31 2008" xfId="2510"/>
    <cellStyle name="s_Trading Val Calc_Customer Details" xfId="2511"/>
    <cellStyle name="s_Trading Val Calc_Eco Metrics" xfId="2512"/>
    <cellStyle name="s_Trading Val Calc_GC001-China-Aug06" xfId="2513"/>
    <cellStyle name="s_Trading Val Calc_GC001-China-July06" xfId="2514"/>
    <cellStyle name="s_Trading Val Calc_GC001-China-Oct06" xfId="2515"/>
    <cellStyle name="s_Trading Val Calc_Pipeline" xfId="2516"/>
    <cellStyle name="s_Trading Val Calc_Pullbacks" xfId="2517"/>
    <cellStyle name="s_Trading Value" xfId="2518"/>
    <cellStyle name="s_Trading Value 2" xfId="2519"/>
    <cellStyle name="s_Trading Value_1" xfId="2520"/>
    <cellStyle name="s_Trading Value_1 2" xfId="2521"/>
    <cellStyle name="s_Trading Value_1_Aing report" xfId="2522"/>
    <cellStyle name="s_Trading Value_1_AR" xfId="2523"/>
    <cellStyle name="s_Trading Value_1_Base HC" xfId="2524"/>
    <cellStyle name="s_Trading Value_1_Base P&amp;L" xfId="2525"/>
    <cellStyle name="s_Trading Value_1_Capex" xfId="2526"/>
    <cellStyle name="s_Trading Value_1_China as on Dec 31 2008" xfId="2527"/>
    <cellStyle name="s_Trading Value_1_Customer Details" xfId="2528"/>
    <cellStyle name="s_Trading Value_1_Eco Metrics" xfId="2529"/>
    <cellStyle name="s_Trading Value_1_GC001-China-Aug06" xfId="2530"/>
    <cellStyle name="s_Trading Value_1_GC001-China-July06" xfId="2531"/>
    <cellStyle name="s_Trading Value_1_GC001-China-Oct06" xfId="2532"/>
    <cellStyle name="s_Trading Value_1_Pipeline" xfId="2533"/>
    <cellStyle name="s_Trading Value_1_Pullbacks" xfId="2534"/>
    <cellStyle name="s_Trading Value_2" xfId="2535"/>
    <cellStyle name="s_Trading Value_2 2" xfId="2536"/>
    <cellStyle name="s_Trading Value_2_Aing report" xfId="2537"/>
    <cellStyle name="s_Trading Value_2_AR" xfId="2538"/>
    <cellStyle name="s_Trading Value_2_Base HC" xfId="2539"/>
    <cellStyle name="s_Trading Value_2_Base P&amp;L" xfId="2540"/>
    <cellStyle name="s_Trading Value_2_Capex" xfId="2541"/>
    <cellStyle name="s_Trading Value_2_China as on Dec 31 2008" xfId="2542"/>
    <cellStyle name="s_Trading Value_2_Customer Details" xfId="2543"/>
    <cellStyle name="s_Trading Value_2_Eco Metrics" xfId="2544"/>
    <cellStyle name="s_Trading Value_2_GC001-China-Aug06" xfId="2545"/>
    <cellStyle name="s_Trading Value_2_GC001-China-July06" xfId="2546"/>
    <cellStyle name="s_Trading Value_2_GC001-China-Oct06" xfId="2547"/>
    <cellStyle name="s_Trading Value_2_Pipeline" xfId="2548"/>
    <cellStyle name="s_Trading Value_2_Pullbacks" xfId="2549"/>
    <cellStyle name="s_Trading Value_Aing report" xfId="2550"/>
    <cellStyle name="s_Trading Value_AR" xfId="2551"/>
    <cellStyle name="s_Trading Value_Base HC" xfId="2552"/>
    <cellStyle name="s_Trading Value_Base P&amp;L" xfId="2553"/>
    <cellStyle name="s_Trading Value_Capex" xfId="2554"/>
    <cellStyle name="s_Trading Value_China as on Dec 31 2008" xfId="2555"/>
    <cellStyle name="s_Trading Value_Customer Details" xfId="2556"/>
    <cellStyle name="s_Trading Value_Eco Metrics" xfId="2557"/>
    <cellStyle name="s_Trading Value_GC001-China-Aug06" xfId="2558"/>
    <cellStyle name="s_Trading Value_GC001-China-July06" xfId="2559"/>
    <cellStyle name="s_Trading Value_GC001-China-Oct06" xfId="2560"/>
    <cellStyle name="s_Trading Value_Pipeline" xfId="2561"/>
    <cellStyle name="s_Trading Value_Pullbacks" xfId="2562"/>
    <cellStyle name="s_Trans Assump" xfId="2563"/>
    <cellStyle name="s_Trans Assump (2)" xfId="2564"/>
    <cellStyle name="s_Trans Assump (2) 2" xfId="2565"/>
    <cellStyle name="s_Trans Assump (2)_1" xfId="2566"/>
    <cellStyle name="s_Trans Assump (2)_1 2" xfId="2567"/>
    <cellStyle name="s_Trans Assump (2)_1_Aing report" xfId="2568"/>
    <cellStyle name="s_Trans Assump (2)_1_AR" xfId="2569"/>
    <cellStyle name="s_Trans Assump (2)_1_Base HC" xfId="2570"/>
    <cellStyle name="s_Trans Assump (2)_1_Base P&amp;L" xfId="2571"/>
    <cellStyle name="s_Trans Assump (2)_1_Capex" xfId="2572"/>
    <cellStyle name="s_Trans Assump (2)_1_China as on Dec 31 2008" xfId="2573"/>
    <cellStyle name="s_Trans Assump (2)_1_Customer Details" xfId="2574"/>
    <cellStyle name="s_Trans Assump (2)_1_Eco Metrics" xfId="2575"/>
    <cellStyle name="s_Trans Assump (2)_1_GC001-China-Aug06" xfId="2576"/>
    <cellStyle name="s_Trans Assump (2)_1_GC001-China-July06" xfId="2577"/>
    <cellStyle name="s_Trans Assump (2)_1_GC001-China-Oct06" xfId="2578"/>
    <cellStyle name="s_Trans Assump (2)_1_Pipeline" xfId="2579"/>
    <cellStyle name="s_Trans Assump (2)_1_Pullbacks" xfId="2580"/>
    <cellStyle name="s_Trans Assump (2)_Aing report" xfId="2581"/>
    <cellStyle name="s_Trans Assump (2)_AR" xfId="2582"/>
    <cellStyle name="s_Trans Assump (2)_Base HC" xfId="2583"/>
    <cellStyle name="s_Trans Assump (2)_Base P&amp;L" xfId="2584"/>
    <cellStyle name="s_Trans Assump (2)_Capex" xfId="2585"/>
    <cellStyle name="s_Trans Assump (2)_China as on Dec 31 2008" xfId="2586"/>
    <cellStyle name="s_Trans Assump (2)_Customer Details" xfId="2587"/>
    <cellStyle name="s_Trans Assump (2)_Eco Metrics" xfId="2588"/>
    <cellStyle name="s_Trans Assump (2)_GC001-China-Aug06" xfId="2589"/>
    <cellStyle name="s_Trans Assump (2)_GC001-China-July06" xfId="2590"/>
    <cellStyle name="s_Trans Assump (2)_GC001-China-Oct06" xfId="2591"/>
    <cellStyle name="s_Trans Assump (2)_Pipeline" xfId="2592"/>
    <cellStyle name="s_Trans Assump (2)_Pullbacks" xfId="2593"/>
    <cellStyle name="s_Trans Assump 2" xfId="2594"/>
    <cellStyle name="s_Trans Assump 3" xfId="2595"/>
    <cellStyle name="s_Trans Assump 4" xfId="2596"/>
    <cellStyle name="s_Trans Assump 5" xfId="2597"/>
    <cellStyle name="s_Trans Assump_1" xfId="2598"/>
    <cellStyle name="s_Trans Assump_1 2" xfId="2599"/>
    <cellStyle name="s_Trans Assump_1_Aing report" xfId="2600"/>
    <cellStyle name="s_Trans Assump_1_AM0909" xfId="2601"/>
    <cellStyle name="s_Trans Assump_1_AM0909 2" xfId="2602"/>
    <cellStyle name="s_Trans Assump_1_AM0909_Aing report" xfId="2603"/>
    <cellStyle name="s_Trans Assump_1_AM0909_AR" xfId="2604"/>
    <cellStyle name="s_Trans Assump_1_AM0909_Base HC" xfId="2605"/>
    <cellStyle name="s_Trans Assump_1_AM0909_Base P&amp;L" xfId="2606"/>
    <cellStyle name="s_Trans Assump_1_AM0909_Capex" xfId="2607"/>
    <cellStyle name="s_Trans Assump_1_AM0909_China as on Dec 31 2008" xfId="2608"/>
    <cellStyle name="s_Trans Assump_1_AM0909_Customer Details" xfId="2609"/>
    <cellStyle name="s_Trans Assump_1_AM0909_Eco Metrics" xfId="2610"/>
    <cellStyle name="s_Trans Assump_1_AM0909_GC001-China-Aug06" xfId="2611"/>
    <cellStyle name="s_Trans Assump_1_AM0909_GC001-China-July06" xfId="2612"/>
    <cellStyle name="s_Trans Assump_1_AM0909_GC001-China-Oct06" xfId="2613"/>
    <cellStyle name="s_Trans Assump_1_AM0909_Pipeline" xfId="2614"/>
    <cellStyle name="s_Trans Assump_1_AM0909_Pullbacks" xfId="2615"/>
    <cellStyle name="s_Trans Assump_1_AR" xfId="2616"/>
    <cellStyle name="s_Trans Assump_1_Base HC" xfId="2617"/>
    <cellStyle name="s_Trans Assump_1_Base P&amp;L" xfId="2618"/>
    <cellStyle name="s_Trans Assump_1_Capex" xfId="2619"/>
    <cellStyle name="s_Trans Assump_1_China as on Dec 31 2008" xfId="2620"/>
    <cellStyle name="s_Trans Assump_1_Customer Details" xfId="2621"/>
    <cellStyle name="s_Trans Assump_1_Eco Metrics" xfId="2622"/>
    <cellStyle name="s_Trans Assump_1_GC001-China-Aug06" xfId="2623"/>
    <cellStyle name="s_Trans Assump_1_GC001-China-July06" xfId="2624"/>
    <cellStyle name="s_Trans Assump_1_GC001-China-Oct06" xfId="2625"/>
    <cellStyle name="s_Trans Assump_1_Pipeline" xfId="2626"/>
    <cellStyle name="s_Trans Assump_1_Pullbacks" xfId="2627"/>
    <cellStyle name="s_Trans Assump_2" xfId="2628"/>
    <cellStyle name="s_Trans Assump_2 2" xfId="2629"/>
    <cellStyle name="s_Trans Assump_2_Aing report" xfId="2630"/>
    <cellStyle name="s_Trans Assump_2_AR" xfId="2631"/>
    <cellStyle name="s_Trans Assump_2_Base HC" xfId="2632"/>
    <cellStyle name="s_Trans Assump_2_Base P&amp;L" xfId="2633"/>
    <cellStyle name="s_Trans Assump_2_Capex" xfId="2634"/>
    <cellStyle name="s_Trans Assump_2_China as on Dec 31 2008" xfId="2635"/>
    <cellStyle name="s_Trans Assump_2_Customer Details" xfId="2636"/>
    <cellStyle name="s_Trans Assump_2_Eco Metrics" xfId="2637"/>
    <cellStyle name="s_Trans Assump_2_GC001-China-Aug06" xfId="2638"/>
    <cellStyle name="s_Trans Assump_2_GC001-China-July06" xfId="2639"/>
    <cellStyle name="s_Trans Assump_2_GC001-China-Oct06" xfId="2640"/>
    <cellStyle name="s_Trans Assump_2_Pipeline" xfId="2641"/>
    <cellStyle name="s_Trans Assump_2_Pullbacks" xfId="2642"/>
    <cellStyle name="s_Trans Assump_Aing report" xfId="2643"/>
    <cellStyle name="s_Trans Assump_AM0909" xfId="2644"/>
    <cellStyle name="s_Trans Assump_AM0909 2" xfId="2645"/>
    <cellStyle name="s_Trans Assump_AM0909_Aing report" xfId="2646"/>
    <cellStyle name="s_Trans Assump_AM0909_AR" xfId="2647"/>
    <cellStyle name="s_Trans Assump_AM0909_Base HC" xfId="2648"/>
    <cellStyle name="s_Trans Assump_AM0909_Base P&amp;L" xfId="2649"/>
    <cellStyle name="s_Trans Assump_AM0909_Capex" xfId="2650"/>
    <cellStyle name="s_Trans Assump_AM0909_China as on Dec 31 2008" xfId="2651"/>
    <cellStyle name="s_Trans Assump_AM0909_Customer Details" xfId="2652"/>
    <cellStyle name="s_Trans Assump_AM0909_Eco Metrics" xfId="2653"/>
    <cellStyle name="s_Trans Assump_AM0909_GC001-China-Aug06" xfId="2654"/>
    <cellStyle name="s_Trans Assump_AM0909_GC001-China-July06" xfId="2655"/>
    <cellStyle name="s_Trans Assump_AM0909_GC001-China-Oct06" xfId="2656"/>
    <cellStyle name="s_Trans Assump_AM0909_Pipeline" xfId="2657"/>
    <cellStyle name="s_Trans Assump_AM0909_Pullbacks" xfId="2658"/>
    <cellStyle name="s_Trans Assump_AR" xfId="2659"/>
    <cellStyle name="s_Trans Assump_Base HC" xfId="2660"/>
    <cellStyle name="s_Trans Assump_Base P&amp;L" xfId="2661"/>
    <cellStyle name="s_Trans Assump_Capex" xfId="2662"/>
    <cellStyle name="s_Trans Assump_China as on Dec 31 2008" xfId="2663"/>
    <cellStyle name="s_Trans Assump_Customer Details" xfId="2664"/>
    <cellStyle name="s_Trans Assump_Eco Metrics" xfId="2665"/>
    <cellStyle name="s_Trans Assump_GC001-China-Aug06" xfId="2666"/>
    <cellStyle name="s_Trans Assump_GC001-China-July06" xfId="2667"/>
    <cellStyle name="s_Trans Assump_GC001-China-Oct06" xfId="2668"/>
    <cellStyle name="s_Trans Assump_Pipeline" xfId="2669"/>
    <cellStyle name="s_Trans Assump_Pullbacks" xfId="2670"/>
    <cellStyle name="s_Trans Assump_Trans Sum" xfId="2671"/>
    <cellStyle name="s_Trans Assump_Trans Sum 2" xfId="2672"/>
    <cellStyle name="s_Trans Assump_Trans Sum_Aing report" xfId="2673"/>
    <cellStyle name="s_Trans Assump_Trans Sum_AR" xfId="2674"/>
    <cellStyle name="s_Trans Assump_Trans Sum_Base HC" xfId="2675"/>
    <cellStyle name="s_Trans Assump_Trans Sum_Base P&amp;L" xfId="2676"/>
    <cellStyle name="s_Trans Assump_Trans Sum_Capex" xfId="2677"/>
    <cellStyle name="s_Trans Assump_Trans Sum_China as on Dec 31 2008" xfId="2678"/>
    <cellStyle name="s_Trans Assump_Trans Sum_Customer Details" xfId="2679"/>
    <cellStyle name="s_Trans Assump_Trans Sum_Eco Metrics" xfId="2680"/>
    <cellStyle name="s_Trans Assump_Trans Sum_GC001-China-Aug06" xfId="2681"/>
    <cellStyle name="s_Trans Assump_Trans Sum_GC001-China-July06" xfId="2682"/>
    <cellStyle name="s_Trans Assump_Trans Sum_GC001-China-Oct06" xfId="2683"/>
    <cellStyle name="s_Trans Assump_Trans Sum_Pipeline" xfId="2684"/>
    <cellStyle name="s_Trans Assump_Trans Sum_Pullbacks" xfId="2685"/>
    <cellStyle name="s_Trans Sum" xfId="2686"/>
    <cellStyle name="s_Trans Sum 2" xfId="2687"/>
    <cellStyle name="s_Trans Sum_1" xfId="2688"/>
    <cellStyle name="s_Trans Sum_1 2" xfId="2689"/>
    <cellStyle name="s_Trans Sum_1_Aing report" xfId="2690"/>
    <cellStyle name="s_Trans Sum_1_AR" xfId="2691"/>
    <cellStyle name="s_Trans Sum_1_Base HC" xfId="2692"/>
    <cellStyle name="s_Trans Sum_1_Base P&amp;L" xfId="2693"/>
    <cellStyle name="s_Trans Sum_1_Capex" xfId="2694"/>
    <cellStyle name="s_Trans Sum_1_China as on Dec 31 2008" xfId="2695"/>
    <cellStyle name="s_Trans Sum_1_Customer Details" xfId="2696"/>
    <cellStyle name="s_Trans Sum_1_Eco Metrics" xfId="2697"/>
    <cellStyle name="s_Trans Sum_1_GC001-China-Aug06" xfId="2698"/>
    <cellStyle name="s_Trans Sum_1_GC001-China-July06" xfId="2699"/>
    <cellStyle name="s_Trans Sum_1_GC001-China-Oct06" xfId="2700"/>
    <cellStyle name="s_Trans Sum_1_Pipeline" xfId="2701"/>
    <cellStyle name="s_Trans Sum_1_Pullbacks" xfId="2702"/>
    <cellStyle name="s_Trans Sum_2" xfId="2703"/>
    <cellStyle name="s_Trans Sum_2 2" xfId="2704"/>
    <cellStyle name="s_Trans Sum_2_Aing report" xfId="2705"/>
    <cellStyle name="s_Trans Sum_2_AR" xfId="2706"/>
    <cellStyle name="s_Trans Sum_2_Base HC" xfId="2707"/>
    <cellStyle name="s_Trans Sum_2_Base P&amp;L" xfId="2708"/>
    <cellStyle name="s_Trans Sum_2_Capex" xfId="2709"/>
    <cellStyle name="s_Trans Sum_2_China as on Dec 31 2008" xfId="2710"/>
    <cellStyle name="s_Trans Sum_2_Customer Details" xfId="2711"/>
    <cellStyle name="s_Trans Sum_2_Eco Metrics" xfId="2712"/>
    <cellStyle name="s_Trans Sum_2_GC001-China-Aug06" xfId="2713"/>
    <cellStyle name="s_Trans Sum_2_GC001-China-July06" xfId="2714"/>
    <cellStyle name="s_Trans Sum_2_GC001-China-Oct06" xfId="2715"/>
    <cellStyle name="s_Trans Sum_2_Pipeline" xfId="2716"/>
    <cellStyle name="s_Trans Sum_2_Pullbacks" xfId="2717"/>
    <cellStyle name="s_Trans Sum_Aing report" xfId="2718"/>
    <cellStyle name="s_Trans Sum_AR" xfId="2719"/>
    <cellStyle name="s_Trans Sum_Base HC" xfId="2720"/>
    <cellStyle name="s_Trans Sum_Base P&amp;L" xfId="2721"/>
    <cellStyle name="s_Trans Sum_Capex" xfId="2722"/>
    <cellStyle name="s_Trans Sum_China as on Dec 31 2008" xfId="2723"/>
    <cellStyle name="s_Trans Sum_Customer Details" xfId="2724"/>
    <cellStyle name="s_Trans Sum_Eco Metrics" xfId="2725"/>
    <cellStyle name="s_Trans Sum_GC001-China-Aug06" xfId="2726"/>
    <cellStyle name="s_Trans Sum_GC001-China-July06" xfId="2727"/>
    <cellStyle name="s_Trans Sum_GC001-China-Oct06" xfId="2728"/>
    <cellStyle name="s_Trans Sum_Pipeline" xfId="2729"/>
    <cellStyle name="s_Trans Sum_Pullbacks" xfId="2730"/>
    <cellStyle name="s_Trans Sum_Trans Assump" xfId="2731"/>
    <cellStyle name="s_Trans Sum_Trans Assump 2" xfId="2732"/>
    <cellStyle name="s_Trans Sum_Trans Assump_Aing report" xfId="2733"/>
    <cellStyle name="s_Trans Sum_Trans Assump_AR" xfId="2734"/>
    <cellStyle name="s_Trans Sum_Trans Assump_Base HC" xfId="2735"/>
    <cellStyle name="s_Trans Sum_Trans Assump_Base P&amp;L" xfId="2736"/>
    <cellStyle name="s_Trans Sum_Trans Assump_Capex" xfId="2737"/>
    <cellStyle name="s_Trans Sum_Trans Assump_China as on Dec 31 2008" xfId="2738"/>
    <cellStyle name="s_Trans Sum_Trans Assump_Customer Details" xfId="2739"/>
    <cellStyle name="s_Trans Sum_Trans Assump_Eco Metrics" xfId="2740"/>
    <cellStyle name="s_Trans Sum_Trans Assump_GC001-China-Aug06" xfId="2741"/>
    <cellStyle name="s_Trans Sum_Trans Assump_GC001-China-July06" xfId="2742"/>
    <cellStyle name="s_Trans Sum_Trans Assump_GC001-China-Oct06" xfId="2743"/>
    <cellStyle name="s_Trans Sum_Trans Assump_Pipeline" xfId="2744"/>
    <cellStyle name="s_Trans Sum_Trans Assump_Pullbacks" xfId="2745"/>
    <cellStyle name="s_Unit Price Sen. (2)" xfId="2746"/>
    <cellStyle name="s_Unit Price Sen. (2) 2" xfId="2747"/>
    <cellStyle name="s_Unit Price Sen. (2)_1" xfId="2748"/>
    <cellStyle name="s_Unit Price Sen. (2)_1 2" xfId="2749"/>
    <cellStyle name="s_Unit Price Sen. (2)_1_Aing report" xfId="2750"/>
    <cellStyle name="s_Unit Price Sen. (2)_1_AR" xfId="2751"/>
    <cellStyle name="s_Unit Price Sen. (2)_1_Base HC" xfId="2752"/>
    <cellStyle name="s_Unit Price Sen. (2)_1_Base P&amp;L" xfId="2753"/>
    <cellStyle name="s_Unit Price Sen. (2)_1_Capex" xfId="2754"/>
    <cellStyle name="s_Unit Price Sen. (2)_1_China as on Dec 31 2008" xfId="2755"/>
    <cellStyle name="s_Unit Price Sen. (2)_1_Customer Details" xfId="2756"/>
    <cellStyle name="s_Unit Price Sen. (2)_1_Eco Metrics" xfId="2757"/>
    <cellStyle name="s_Unit Price Sen. (2)_1_GC001-China-Aug06" xfId="2758"/>
    <cellStyle name="s_Unit Price Sen. (2)_1_GC001-China-July06" xfId="2759"/>
    <cellStyle name="s_Unit Price Sen. (2)_1_GC001-China-Oct06" xfId="2760"/>
    <cellStyle name="s_Unit Price Sen. (2)_1_Pipeline" xfId="2761"/>
    <cellStyle name="s_Unit Price Sen. (2)_1_Pullbacks" xfId="2762"/>
    <cellStyle name="s_Unit Price Sen. (2)_2" xfId="2763"/>
    <cellStyle name="s_Unit Price Sen. (2)_2 2" xfId="2764"/>
    <cellStyle name="s_Unit Price Sen. (2)_2_Aing report" xfId="2765"/>
    <cellStyle name="s_Unit Price Sen. (2)_2_AR" xfId="2766"/>
    <cellStyle name="s_Unit Price Sen. (2)_2_Base HC" xfId="2767"/>
    <cellStyle name="s_Unit Price Sen. (2)_2_Base P&amp;L" xfId="2768"/>
    <cellStyle name="s_Unit Price Sen. (2)_2_Capex" xfId="2769"/>
    <cellStyle name="s_Unit Price Sen. (2)_2_China as on Dec 31 2008" xfId="2770"/>
    <cellStyle name="s_Unit Price Sen. (2)_2_Customer Details" xfId="2771"/>
    <cellStyle name="s_Unit Price Sen. (2)_2_Eco Metrics" xfId="2772"/>
    <cellStyle name="s_Unit Price Sen. (2)_2_GC001-China-Aug06" xfId="2773"/>
    <cellStyle name="s_Unit Price Sen. (2)_2_GC001-China-July06" xfId="2774"/>
    <cellStyle name="s_Unit Price Sen. (2)_2_GC001-China-Oct06" xfId="2775"/>
    <cellStyle name="s_Unit Price Sen. (2)_2_Pipeline" xfId="2776"/>
    <cellStyle name="s_Unit Price Sen. (2)_2_Pullbacks" xfId="2777"/>
    <cellStyle name="s_Unit Price Sen. (2)_Aing report" xfId="2778"/>
    <cellStyle name="s_Unit Price Sen. (2)_AR" xfId="2779"/>
    <cellStyle name="s_Unit Price Sen. (2)_Base HC" xfId="2780"/>
    <cellStyle name="s_Unit Price Sen. (2)_Base P&amp;L" xfId="2781"/>
    <cellStyle name="s_Unit Price Sen. (2)_Capex" xfId="2782"/>
    <cellStyle name="s_Unit Price Sen. (2)_China as on Dec 31 2008" xfId="2783"/>
    <cellStyle name="s_Unit Price Sen. (2)_Customer Details" xfId="2784"/>
    <cellStyle name="s_Unit Price Sen. (2)_Eco Metrics" xfId="2785"/>
    <cellStyle name="s_Unit Price Sen. (2)_GC001-China-Aug06" xfId="2786"/>
    <cellStyle name="s_Unit Price Sen. (2)_GC001-China-July06" xfId="2787"/>
    <cellStyle name="s_Unit Price Sen. (2)_GC001-China-Oct06" xfId="2788"/>
    <cellStyle name="s_Unit Price Sen. (2)_Pipeline" xfId="2789"/>
    <cellStyle name="s_Unit Price Sen. (2)_Pullbacks" xfId="2790"/>
    <cellStyle name="s_UPVAL9" xfId="2791"/>
    <cellStyle name="s_UPVAL9 2" xfId="2792"/>
    <cellStyle name="s_UPVAL9_Aing report" xfId="2793"/>
    <cellStyle name="s_UPVAL9_AR" xfId="2794"/>
    <cellStyle name="s_UPVAL9_Base HC" xfId="2795"/>
    <cellStyle name="s_UPVAL9_Base P&amp;L" xfId="2796"/>
    <cellStyle name="s_UPVAL9_Capex" xfId="2797"/>
    <cellStyle name="s_UPVAL9_China as on Dec 31 2008" xfId="2798"/>
    <cellStyle name="s_UPVAL9_Customer Details" xfId="2799"/>
    <cellStyle name="s_UPVAL9_Eco Metrics" xfId="2800"/>
    <cellStyle name="s_UPVAL9_GC001-China-Aug06" xfId="2801"/>
    <cellStyle name="s_UPVAL9_GC001-China-July06" xfId="2802"/>
    <cellStyle name="s_UPVAL9_GC001-China-Oct06" xfId="2803"/>
    <cellStyle name="s_UPVAL9_Pipeline" xfId="2804"/>
    <cellStyle name="s_UPVAL9_Pullbacks" xfId="2805"/>
    <cellStyle name="s_Val Anal" xfId="2806"/>
    <cellStyle name="s_Val Anal 2" xfId="2807"/>
    <cellStyle name="s_Val Anal_Aing report" xfId="2808"/>
    <cellStyle name="s_Val Anal_AR" xfId="2809"/>
    <cellStyle name="s_Val Anal_Base HC" xfId="2810"/>
    <cellStyle name="s_Val Anal_Base P&amp;L" xfId="2811"/>
    <cellStyle name="s_Val Anal_Capex" xfId="2812"/>
    <cellStyle name="s_Val Anal_China as on Dec 31 2008" xfId="2813"/>
    <cellStyle name="s_Val Anal_Customer Details" xfId="2814"/>
    <cellStyle name="s_Val Anal_Eco Metrics" xfId="2815"/>
    <cellStyle name="s_Val Anal_GC001-China-Aug06" xfId="2816"/>
    <cellStyle name="s_Val Anal_GC001-China-July06" xfId="2817"/>
    <cellStyle name="s_Val Anal_GC001-China-Oct06" xfId="2818"/>
    <cellStyle name="s_Val Anal_Pipeline" xfId="2819"/>
    <cellStyle name="s_Val Anal_Pullbacks" xfId="2820"/>
    <cellStyle name="s_Valuation Matrix" xfId="2821"/>
    <cellStyle name="s_Valuation Matrix 2" xfId="2822"/>
    <cellStyle name="s_Valuation Matrix_Aing report" xfId="2823"/>
    <cellStyle name="s_Valuation Matrix_AR" xfId="2824"/>
    <cellStyle name="s_Valuation Matrix_Base HC" xfId="2825"/>
    <cellStyle name="s_Valuation Matrix_Base P&amp;L" xfId="2826"/>
    <cellStyle name="s_Valuation Matrix_Capex" xfId="2827"/>
    <cellStyle name="s_Valuation Matrix_China as on Dec 31 2008" xfId="2828"/>
    <cellStyle name="s_Valuation Matrix_Customer Details" xfId="2829"/>
    <cellStyle name="s_Valuation Matrix_Eco Metrics" xfId="2830"/>
    <cellStyle name="s_Valuation Matrix_GC001-China-Aug06" xfId="2831"/>
    <cellStyle name="s_Valuation Matrix_GC001-China-July06" xfId="2832"/>
    <cellStyle name="s_Valuation Matrix_GC001-China-Oct06" xfId="2833"/>
    <cellStyle name="s_Valuation Matrix_Pipeline" xfId="2834"/>
    <cellStyle name="s_Valuation Matrix_Pullbacks" xfId="2835"/>
    <cellStyle name="SELECT" xfId="2836"/>
    <cellStyle name="Smart Bold" xfId="2837"/>
    <cellStyle name="Smart Highlight" xfId="2838"/>
    <cellStyle name="Smart Subtitle 1" xfId="2839"/>
    <cellStyle name="Smart Subtotal" xfId="2840"/>
    <cellStyle name="Smart Title" xfId="2841"/>
    <cellStyle name="Standard__Utopia Index Index und Guidance (Deutsch)" xfId="2842"/>
    <cellStyle name="static" xfId="2843"/>
    <cellStyle name="Style 1" xfId="2844"/>
    <cellStyle name="Style 1 2" xfId="2845"/>
    <cellStyle name="Style 1 2 2" xfId="2846"/>
    <cellStyle name="Style 1 3" xfId="2847"/>
    <cellStyle name="Style 21" xfId="2848"/>
    <cellStyle name="Style 22" xfId="2849"/>
    <cellStyle name="Style 23" xfId="2850"/>
    <cellStyle name="Style 24" xfId="2851"/>
    <cellStyle name="Style 25" xfId="2852"/>
    <cellStyle name="Style 26" xfId="2853"/>
    <cellStyle name="Style 27" xfId="2854"/>
    <cellStyle name="Style 28" xfId="2855"/>
    <cellStyle name="Style 29" xfId="2856"/>
    <cellStyle name="Style 30" xfId="2857"/>
    <cellStyle name="Style 31" xfId="2858"/>
    <cellStyle name="Style 32" xfId="2859"/>
    <cellStyle name="Style 33" xfId="2860"/>
    <cellStyle name="Style 33 2" xfId="2861"/>
    <cellStyle name="Style 34" xfId="2862"/>
    <cellStyle name="Style 35" xfId="2863"/>
    <cellStyle name="Style 36" xfId="2864"/>
    <cellStyle name="Style 36 2" xfId="2865"/>
    <cellStyle name="Style 37" xfId="2866"/>
    <cellStyle name="Subtotal" xfId="2867"/>
    <cellStyle name="Table Title" xfId="2868"/>
    <cellStyle name="tcn" xfId="2869"/>
    <cellStyle name="text" xfId="2870"/>
    <cellStyle name="text 2" xfId="2871"/>
    <cellStyle name="times" xfId="2872"/>
    <cellStyle name="tn" xfId="2873"/>
    <cellStyle name="Topheader" xfId="2874"/>
    <cellStyle name="undo-style" xfId="2875"/>
    <cellStyle name="UN-HiLite" xfId="2876"/>
    <cellStyle name="UNLOCKED" xfId="2877"/>
    <cellStyle name="UnSelect" xfId="2878"/>
    <cellStyle name="X" xfId="2879"/>
    <cellStyle name="X - None" xfId="2880"/>
    <cellStyle name="X - None 2" xfId="2881"/>
    <cellStyle name="X - None 2 2" xfId="2882"/>
    <cellStyle name="X - None 3" xfId="2883"/>
    <cellStyle name="X 2" xfId="2884"/>
    <cellStyle name="X 3" xfId="2885"/>
    <cellStyle name="X 4" xfId="2886"/>
    <cellStyle name="X 5" xfId="2887"/>
    <cellStyle name="X_Mary911" xfId="2888"/>
    <cellStyle name="X_Mary911_star0428" xfId="2889"/>
    <cellStyle name="X_Mary911_star0428 2" xfId="2890"/>
    <cellStyle name="X_Mary911_star0428 2 2" xfId="2891"/>
    <cellStyle name="X_Mary911_star0428 3" xfId="2892"/>
    <cellStyle name="X_star0428" xfId="2893"/>
    <cellStyle name="X_star0428 2" xfId="2894"/>
    <cellStyle name="X_star0428 2 2" xfId="2895"/>
    <cellStyle name="X_star0428 3" xfId="2896"/>
    <cellStyle name="ハイパーリンク_Global English Applicaiton -- Apr.2004" xfId="2897"/>
    <cellStyle name="콤마 [0]_BOILER-CO1" xfId="2898"/>
    <cellStyle name="콤마_BOILER-CO1" xfId="2899"/>
    <cellStyle name="통화 [0]_BOILER-CO1" xfId="2900"/>
    <cellStyle name="통화_BOILER-CO1" xfId="2901"/>
    <cellStyle name="표준_0N-HANDLING " xfId="2902"/>
    <cellStyle name="千位[0]_GetDateDialog" xfId="2903"/>
    <cellStyle name="千位_GetDateDialog" xfId="2904"/>
    <cellStyle name="千位分隔_326005001-A30-Mar05HIDE" xfId="2905"/>
    <cellStyle name="千分位[0]_ 白土" xfId="2906"/>
    <cellStyle name="千分位_ 白土" xfId="2907"/>
    <cellStyle name="常规_326005001-A30-Mar05HIDE" xfId="2908"/>
    <cellStyle name="普通_ 白土" xfId="2909"/>
    <cellStyle name="桁区切り [0.00]_Sheet1" xfId="2910"/>
    <cellStyle name="標準_Book1" xfId="2911"/>
    <cellStyle name="烹拳 [0]_97MBO" xfId="2912"/>
    <cellStyle name="烹拳_97MBO" xfId="2913"/>
    <cellStyle name="钎霖_laroux" xfId="2914"/>
    <cellStyle name="霓付 [0]_97MBO" xfId="2915"/>
    <cellStyle name="霓付_97MBO" xfId="29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158658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zoomScale="90" zoomScaleNormal="90" workbookViewId="0"/>
  </sheetViews>
  <sheetFormatPr defaultColWidth="0" defaultRowHeight="0" customHeight="1" zeroHeight="1"/>
  <cols>
    <col min="1" max="1" width="8.44140625" style="2" customWidth="1"/>
    <col min="2" max="2" width="72.44140625" style="2" customWidth="1"/>
    <col min="3" max="4" width="8.44140625" style="2" customWidth="1"/>
    <col min="5" max="16384" width="8.44140625" style="2" hidden="1"/>
  </cols>
  <sheetData>
    <row r="1" spans="1:3" ht="13.8">
      <c r="A1" s="1"/>
    </row>
    <row r="2" spans="1:3" ht="13.8"/>
    <row r="3" spans="1:3" ht="13.8"/>
    <row r="4" spans="1:3" ht="13.8"/>
    <row r="5" spans="1:3" ht="13.8"/>
    <row r="6" spans="1:3" ht="13.8"/>
    <row r="7" spans="1:3" ht="20.399999999999999">
      <c r="B7" s="295" t="s">
        <v>0</v>
      </c>
      <c r="C7" s="295"/>
    </row>
    <row r="8" spans="1:3" ht="20.399999999999999">
      <c r="B8" s="296" t="s">
        <v>1</v>
      </c>
      <c r="C8" s="296"/>
    </row>
    <row r="9" spans="1:3" ht="20.399999999999999">
      <c r="B9" s="256" t="s">
        <v>2</v>
      </c>
      <c r="C9" s="3"/>
    </row>
    <row r="10" spans="1:3" s="37" customFormat="1" ht="18">
      <c r="B10" s="251" t="s">
        <v>3</v>
      </c>
      <c r="C10" s="252" t="s">
        <v>4</v>
      </c>
    </row>
    <row r="11" spans="1:3" s="37" customFormat="1" ht="18">
      <c r="B11" s="253" t="s">
        <v>5</v>
      </c>
      <c r="C11" s="254">
        <v>1</v>
      </c>
    </row>
    <row r="12" spans="1:3" s="37" customFormat="1" ht="18">
      <c r="B12" s="253" t="s">
        <v>6</v>
      </c>
      <c r="C12" s="254">
        <v>2</v>
      </c>
    </row>
    <row r="13" spans="1:3" s="37" customFormat="1" ht="18">
      <c r="B13" s="253" t="s">
        <v>7</v>
      </c>
      <c r="C13" s="254">
        <v>3</v>
      </c>
    </row>
    <row r="14" spans="1:3" s="37" customFormat="1" ht="18">
      <c r="B14" s="253" t="s">
        <v>8</v>
      </c>
      <c r="C14" s="254">
        <v>4</v>
      </c>
    </row>
    <row r="15" spans="1:3" s="37" customFormat="1" ht="18">
      <c r="B15" s="253" t="s">
        <v>9</v>
      </c>
      <c r="C15" s="254">
        <v>5</v>
      </c>
    </row>
    <row r="16" spans="1:3" s="37" customFormat="1" ht="18">
      <c r="B16" s="253" t="s">
        <v>10</v>
      </c>
      <c r="C16" s="254">
        <v>6</v>
      </c>
    </row>
    <row r="17" spans="2:3" s="37" customFormat="1" ht="18">
      <c r="B17" s="253" t="s">
        <v>11</v>
      </c>
      <c r="C17" s="254">
        <v>7</v>
      </c>
    </row>
    <row r="18" spans="2:3" s="37" customFormat="1" ht="18">
      <c r="B18" s="253" t="s">
        <v>12</v>
      </c>
      <c r="C18" s="254">
        <v>8</v>
      </c>
    </row>
    <row r="19" spans="2:3" s="37" customFormat="1" ht="18">
      <c r="B19" s="253" t="s">
        <v>13</v>
      </c>
      <c r="C19" s="254">
        <v>9</v>
      </c>
    </row>
    <row r="20" spans="2:3" s="37" customFormat="1" ht="18">
      <c r="C20" s="255"/>
    </row>
    <row r="21" spans="2:3" s="37" customFormat="1" ht="18"/>
    <row r="22" spans="2:3" ht="13.8"/>
    <row r="23" spans="2:3" ht="13.8"/>
    <row r="24" spans="2:3" ht="13.8"/>
    <row r="25" spans="2:3" ht="13.8"/>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L9"/>
  <sheetViews>
    <sheetView showGridLines="0" zoomScaleNormal="100" workbookViewId="0">
      <selection activeCell="B4" sqref="B3:J4"/>
    </sheetView>
  </sheetViews>
  <sheetFormatPr defaultColWidth="0" defaultRowHeight="0" customHeight="1" zeroHeight="1"/>
  <cols>
    <col min="1" max="1" width="5.44140625" style="2" customWidth="1"/>
    <col min="2" max="2" width="43" style="2" bestFit="1" customWidth="1"/>
    <col min="3" max="10" width="19.109375" style="2" customWidth="1"/>
    <col min="11" max="11" width="6.44140625" style="2" customWidth="1"/>
    <col min="12" max="12" width="8.5546875" style="2" customWidth="1"/>
    <col min="13" max="16384" width="34" style="2" hidden="1"/>
  </cols>
  <sheetData>
    <row r="1" spans="1:12" ht="13.8">
      <c r="A1" s="1"/>
    </row>
    <row r="2" spans="1:12" ht="16.2" thickBot="1">
      <c r="L2" s="21" t="s">
        <v>14</v>
      </c>
    </row>
    <row r="3" spans="1:12" ht="63" customHeight="1" thickBot="1">
      <c r="B3" s="22"/>
      <c r="C3" s="23" t="s">
        <v>269</v>
      </c>
      <c r="D3" s="23" t="s">
        <v>270</v>
      </c>
      <c r="E3" s="23" t="s">
        <v>304</v>
      </c>
      <c r="F3" s="23">
        <v>2019</v>
      </c>
      <c r="G3" s="23">
        <v>2020</v>
      </c>
      <c r="H3" s="23">
        <v>2021</v>
      </c>
      <c r="I3" s="23">
        <v>2022</v>
      </c>
      <c r="J3" s="269">
        <v>2023</v>
      </c>
    </row>
    <row r="4" spans="1:12" ht="20.399999999999999" thickTop="1" thickBot="1">
      <c r="B4" s="24" t="s">
        <v>271</v>
      </c>
      <c r="C4" s="25">
        <v>21996</v>
      </c>
      <c r="D4" s="25">
        <v>22047</v>
      </c>
      <c r="E4" s="25">
        <v>20772</v>
      </c>
      <c r="F4" s="25">
        <v>22766</v>
      </c>
      <c r="G4" s="25">
        <v>18936</v>
      </c>
      <c r="H4" s="25">
        <v>17021</v>
      </c>
      <c r="I4" s="25">
        <v>15993</v>
      </c>
      <c r="J4" s="273">
        <v>15993</v>
      </c>
      <c r="L4" s="26"/>
    </row>
    <row r="5" spans="1:12" ht="19.8" thickBot="1">
      <c r="B5" s="27" t="s">
        <v>272</v>
      </c>
      <c r="C5" s="28">
        <v>1456</v>
      </c>
      <c r="D5" s="28">
        <v>1586</v>
      </c>
      <c r="E5" s="28">
        <v>1520</v>
      </c>
      <c r="F5" s="28">
        <v>1562.3</v>
      </c>
      <c r="G5" s="28">
        <v>1292.5617081650009</v>
      </c>
      <c r="H5" s="28">
        <v>1166.6063262573389</v>
      </c>
      <c r="I5" s="28">
        <v>1077.3158367699009</v>
      </c>
      <c r="J5" s="272">
        <f>'3. Income Statement'!AX9/1000</f>
        <v>1064.124238570279</v>
      </c>
      <c r="L5" s="29"/>
    </row>
    <row r="6" spans="1:12" ht="19.8" thickBot="1">
      <c r="B6" s="30" t="s">
        <v>273</v>
      </c>
      <c r="C6" s="31">
        <v>66</v>
      </c>
      <c r="D6" s="31">
        <v>72</v>
      </c>
      <c r="E6" s="31">
        <v>73</v>
      </c>
      <c r="F6" s="31">
        <v>69</v>
      </c>
      <c r="G6" s="31">
        <v>68.260000000000005</v>
      </c>
      <c r="H6" s="31">
        <v>68.539235430194395</v>
      </c>
      <c r="I6" s="31">
        <v>67.361710546482897</v>
      </c>
      <c r="J6" s="270">
        <v>67.361710546482897</v>
      </c>
      <c r="L6" s="32"/>
    </row>
    <row r="7" spans="1:12" ht="24" thickBot="1">
      <c r="B7" s="27" t="s">
        <v>274</v>
      </c>
      <c r="C7" s="33"/>
      <c r="D7" s="34">
        <v>0.09</v>
      </c>
      <c r="E7" s="34">
        <v>0.11</v>
      </c>
      <c r="F7" s="34">
        <f>+F6/E6-1</f>
        <v>-5.4794520547945202E-2</v>
      </c>
      <c r="G7" s="34">
        <f>+G6/F6-1</f>
        <v>-1.0724637681159388E-2</v>
      </c>
      <c r="H7" s="34">
        <v>4.090762235487988E-3</v>
      </c>
      <c r="I7" s="34">
        <v>-1.7180303753326465E-2</v>
      </c>
      <c r="J7" s="271">
        <v>-1.7180303753326465E-2</v>
      </c>
    </row>
    <row r="8" spans="1:12" ht="13.8"/>
    <row r="9" spans="1:12" ht="13.8">
      <c r="I9" s="29"/>
    </row>
  </sheetData>
  <hyperlinks>
    <hyperlink ref="L2" location="Contents!A1" display="Back"/>
  </hyperlinks>
  <pageMargins left="0.25" right="0.25" top="0.75" bottom="0.75" header="0.3" footer="0.3"/>
  <pageSetup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DT53"/>
  <sheetViews>
    <sheetView showGridLines="0" tabSelected="1" zoomScale="80" zoomScaleNormal="80" zoomScaleSheetLayoutView="90" workbookViewId="0">
      <pane xSplit="2" ySplit="4" topLeftCell="AL24" activePane="bottomRight" state="frozen"/>
      <selection activeCell="B22" sqref="B22"/>
      <selection pane="topRight" activeCell="B22" sqref="B22"/>
      <selection pane="bottomLeft" activeCell="B22" sqref="B22"/>
      <selection pane="bottomRight" activeCell="AT43" sqref="AT43"/>
    </sheetView>
  </sheetViews>
  <sheetFormatPr defaultColWidth="0" defaultRowHeight="13.8" zeroHeight="1" outlineLevelRow="1" outlineLevelCol="1"/>
  <cols>
    <col min="1" max="1" width="2.44140625" style="4" customWidth="1"/>
    <col min="2" max="2" width="44.44140625" style="4" customWidth="1"/>
    <col min="3" max="9" width="10.44140625" style="4" hidden="1" customWidth="1" outlineLevel="1"/>
    <col min="10" max="11" width="1.44140625" style="4" hidden="1" customWidth="1" outlineLevel="1"/>
    <col min="12" max="12" width="11.44140625" style="4" hidden="1" customWidth="1" outlineLevel="1"/>
    <col min="13" max="13" width="1.44140625" style="4" hidden="1" customWidth="1" outlineLevel="1"/>
    <col min="14" max="14" width="11.44140625" style="4" hidden="1" customWidth="1" outlineLevel="1"/>
    <col min="15" max="16" width="1.44140625" style="4" hidden="1" customWidth="1" outlineLevel="1"/>
    <col min="17" max="17" width="11.44140625" style="4" hidden="1" customWidth="1" outlineLevel="1"/>
    <col min="18" max="18" width="1.44140625" style="4" hidden="1" customWidth="1" outlineLevel="1"/>
    <col min="19" max="19" width="11.44140625" style="4" hidden="1" customWidth="1" outlineLevel="1"/>
    <col min="20" max="20" width="1.44140625" style="4" hidden="1" customWidth="1" outlineLevel="1"/>
    <col min="21" max="21" width="5.44140625" style="5" hidden="1" customWidth="1" outlineLevel="1"/>
    <col min="22" max="22" width="10.44140625" style="4" hidden="1" customWidth="1" outlineLevel="1" collapsed="1"/>
    <col min="23" max="25" width="10.44140625" style="4" hidden="1" customWidth="1" outlineLevel="1"/>
    <col min="26" max="26" width="10.44140625" style="4" hidden="1" customWidth="1" outlineLevel="1" collapsed="1"/>
    <col min="27" max="29" width="10.44140625" style="4" hidden="1" customWidth="1" outlineLevel="1"/>
    <col min="30" max="30" width="10.44140625" style="4" hidden="1" customWidth="1" outlineLevel="1" collapsed="1"/>
    <col min="31" max="33" width="10.44140625" style="4" hidden="1" customWidth="1" outlineLevel="1"/>
    <col min="34" max="34" width="10.44140625" style="4" hidden="1" customWidth="1" outlineLevel="1" collapsed="1"/>
    <col min="35" max="37" width="10.44140625" style="4" hidden="1" customWidth="1" outlineLevel="1"/>
    <col min="38" max="38" width="10.44140625" style="4" customWidth="1" collapsed="1"/>
    <col min="39" max="46" width="10.44140625" style="4" customWidth="1"/>
    <col min="47" max="47" width="1.44140625" style="4" customWidth="1"/>
    <col min="48" max="48" width="12.44140625" style="4" hidden="1" customWidth="1"/>
    <col min="49" max="49" width="1.44140625" style="4" customWidth="1"/>
    <col min="50" max="50" width="11.109375" style="4" customWidth="1"/>
    <col min="51" max="51" width="1.44140625" style="4" customWidth="1"/>
    <col min="52" max="52" width="11.109375" style="4" customWidth="1"/>
    <col min="53" max="53" width="1.44140625" style="4" customWidth="1"/>
    <col min="54" max="54" width="11.109375" style="4" customWidth="1"/>
    <col min="55" max="55" width="1.44140625" style="4" customWidth="1"/>
    <col min="56" max="56" width="11.109375" style="4" customWidth="1"/>
    <col min="57" max="57" width="1.44140625" style="4" customWidth="1"/>
    <col min="58" max="60" width="13.33203125" style="4" hidden="1" customWidth="1"/>
    <col min="61" max="61" width="12.33203125" style="4" bestFit="1" customWidth="1"/>
    <col min="62" max="62" width="11.109375" style="4" customWidth="1"/>
    <col min="63" max="63" width="12.33203125" style="4" bestFit="1" customWidth="1"/>
    <col min="64" max="124" width="0" style="4" hidden="1" customWidth="1"/>
    <col min="125" max="16384" width="12.44140625" style="4" hidden="1"/>
  </cols>
  <sheetData>
    <row r="1" spans="2:63"/>
    <row r="2" spans="2:63" ht="23.4">
      <c r="B2" s="6" t="s">
        <v>275</v>
      </c>
      <c r="BJ2" s="153" t="s">
        <v>14</v>
      </c>
    </row>
    <row r="3" spans="2:63" ht="15" customHeight="1">
      <c r="B3" s="8"/>
      <c r="C3" s="299" t="s">
        <v>20</v>
      </c>
      <c r="D3" s="300"/>
      <c r="E3" s="300"/>
      <c r="F3" s="300"/>
      <c r="G3" s="300"/>
      <c r="H3" s="300"/>
      <c r="I3" s="300"/>
      <c r="J3" s="300"/>
      <c r="K3" s="300"/>
      <c r="L3" s="300"/>
      <c r="M3" s="300"/>
      <c r="N3" s="300"/>
      <c r="O3" s="300"/>
      <c r="P3" s="300"/>
      <c r="Q3" s="300"/>
      <c r="R3" s="300"/>
      <c r="S3" s="301"/>
      <c r="V3" s="9" t="s">
        <v>222</v>
      </c>
      <c r="W3" s="9" t="s">
        <v>222</v>
      </c>
      <c r="X3" s="9" t="s">
        <v>222</v>
      </c>
      <c r="Y3" s="9" t="s">
        <v>222</v>
      </c>
      <c r="Z3" s="9" t="s">
        <v>222</v>
      </c>
      <c r="AA3" s="9" t="s">
        <v>222</v>
      </c>
      <c r="AB3" s="9" t="s">
        <v>222</v>
      </c>
      <c r="AV3" s="9" t="s">
        <v>222</v>
      </c>
    </row>
    <row r="4" spans="2:63" s="152" customFormat="1" ht="15" customHeight="1" thickBot="1">
      <c r="B4" s="148"/>
      <c r="C4" s="149" t="s">
        <v>227</v>
      </c>
      <c r="D4" s="149" t="s">
        <v>228</v>
      </c>
      <c r="E4" s="149" t="s">
        <v>229</v>
      </c>
      <c r="F4" s="149" t="s">
        <v>230</v>
      </c>
      <c r="G4" s="149" t="s">
        <v>231</v>
      </c>
      <c r="H4" s="149" t="s">
        <v>232</v>
      </c>
      <c r="I4" s="149" t="s">
        <v>233</v>
      </c>
      <c r="J4" s="150"/>
      <c r="K4" s="151" t="s">
        <v>19</v>
      </c>
      <c r="L4" s="149" t="s">
        <v>276</v>
      </c>
      <c r="M4" s="150"/>
      <c r="N4" s="149" t="s">
        <v>277</v>
      </c>
      <c r="O4" s="151"/>
      <c r="P4" s="150"/>
      <c r="Q4" s="149" t="s">
        <v>101</v>
      </c>
      <c r="R4" s="150"/>
      <c r="S4" s="149" t="s">
        <v>234</v>
      </c>
      <c r="T4" s="150"/>
      <c r="U4" s="150"/>
      <c r="V4" s="149" t="s">
        <v>227</v>
      </c>
      <c r="W4" s="149" t="s">
        <v>228</v>
      </c>
      <c r="X4" s="149" t="s">
        <v>229</v>
      </c>
      <c r="Y4" s="149" t="s">
        <v>230</v>
      </c>
      <c r="Z4" s="149" t="s">
        <v>231</v>
      </c>
      <c r="AA4" s="149" t="s">
        <v>232</v>
      </c>
      <c r="AB4" s="149" t="s">
        <v>233</v>
      </c>
      <c r="AC4" s="149" t="s">
        <v>235</v>
      </c>
      <c r="AD4" s="149" t="s">
        <v>236</v>
      </c>
      <c r="AE4" s="149" t="s">
        <v>237</v>
      </c>
      <c r="AF4" s="149" t="s">
        <v>238</v>
      </c>
      <c r="AG4" s="149" t="s">
        <v>239</v>
      </c>
      <c r="AH4" s="149" t="s">
        <v>240</v>
      </c>
      <c r="AI4" s="149" t="s">
        <v>241</v>
      </c>
      <c r="AJ4" s="149" t="s">
        <v>242</v>
      </c>
      <c r="AK4" s="149" t="s">
        <v>243</v>
      </c>
      <c r="AL4" s="149" t="s">
        <v>244</v>
      </c>
      <c r="AM4" s="149" t="s">
        <v>245</v>
      </c>
      <c r="AN4" s="149" t="s">
        <v>331</v>
      </c>
      <c r="AO4" s="149" t="s">
        <v>336</v>
      </c>
      <c r="AP4" s="149" t="s">
        <v>342</v>
      </c>
      <c r="AQ4" s="149" t="s">
        <v>358</v>
      </c>
      <c r="AR4" s="149" t="s">
        <v>356</v>
      </c>
      <c r="AS4" s="149" t="s">
        <v>379</v>
      </c>
      <c r="AT4" s="149" t="s">
        <v>388</v>
      </c>
      <c r="AU4" s="150"/>
      <c r="AV4" s="149" t="s">
        <v>101</v>
      </c>
      <c r="AW4" s="150"/>
      <c r="AX4" s="149" t="s">
        <v>102</v>
      </c>
      <c r="AY4" s="150"/>
      <c r="AZ4" s="149" t="s">
        <v>103</v>
      </c>
      <c r="BA4" s="150"/>
      <c r="BB4" s="149" t="s">
        <v>104</v>
      </c>
      <c r="BC4" s="150"/>
      <c r="BD4" s="149" t="s">
        <v>333</v>
      </c>
      <c r="BE4" s="150"/>
      <c r="BF4" s="149" t="s">
        <v>343</v>
      </c>
      <c r="BG4" s="149" t="s">
        <v>359</v>
      </c>
      <c r="BH4" s="149" t="s">
        <v>357</v>
      </c>
      <c r="BI4" s="149" t="s">
        <v>363</v>
      </c>
      <c r="BJ4" s="149" t="s">
        <v>369</v>
      </c>
      <c r="BK4" s="149" t="s">
        <v>389</v>
      </c>
    </row>
    <row r="5" spans="2:63" ht="15" customHeight="1">
      <c r="B5" s="8"/>
      <c r="K5" s="10"/>
      <c r="O5" s="10"/>
    </row>
    <row r="6" spans="2:63" ht="15" customHeight="1">
      <c r="B6" s="11" t="s">
        <v>278</v>
      </c>
      <c r="K6" s="10"/>
      <c r="O6" s="10"/>
    </row>
    <row r="7" spans="2:63" ht="15" customHeight="1">
      <c r="B7" s="12" t="s">
        <v>221</v>
      </c>
      <c r="K7" s="10"/>
      <c r="O7" s="10"/>
      <c r="R7" s="13"/>
      <c r="AW7" s="13"/>
      <c r="AY7" s="13"/>
      <c r="BA7" s="13"/>
      <c r="BC7" s="13"/>
      <c r="BE7" s="13"/>
    </row>
    <row r="8" spans="2:63" s="91" customFormat="1" ht="15" customHeight="1">
      <c r="B8" s="128" t="s">
        <v>279</v>
      </c>
      <c r="C8" s="129">
        <v>393.16705134368351</v>
      </c>
      <c r="D8" s="129">
        <v>410.38168223752746</v>
      </c>
      <c r="E8" s="129">
        <v>383.0300055909205</v>
      </c>
      <c r="F8" s="129">
        <v>399.64334425733591</v>
      </c>
      <c r="G8" s="129">
        <v>403.76469007781719</v>
      </c>
      <c r="H8" s="129">
        <v>390.15971691157779</v>
      </c>
      <c r="I8" s="129">
        <v>372.91669093397007</v>
      </c>
      <c r="K8" s="130"/>
      <c r="L8" s="129">
        <f>SUM(C8:E8)</f>
        <v>1186.5787391721315</v>
      </c>
      <c r="M8" s="129"/>
      <c r="N8" s="129">
        <f>SUM(G8:I8)</f>
        <v>1166.8410979233652</v>
      </c>
      <c r="O8" s="130"/>
      <c r="Q8" s="129">
        <f>SUM(C8:F8)</f>
        <v>1586.2220834294674</v>
      </c>
      <c r="R8" s="129"/>
      <c r="S8" s="129">
        <f>SUM(F8:I8)</f>
        <v>1566.4844421807011</v>
      </c>
      <c r="U8" s="83"/>
      <c r="V8" s="129">
        <v>393.16705134368351</v>
      </c>
      <c r="W8" s="129">
        <v>410.38168223752746</v>
      </c>
      <c r="X8" s="129">
        <v>383.03000559092044</v>
      </c>
      <c r="Y8" s="129">
        <v>399.64334425733591</v>
      </c>
      <c r="Z8" s="129">
        <v>404.35735676781724</v>
      </c>
      <c r="AA8" s="129">
        <v>390.84866422157785</v>
      </c>
      <c r="AB8" s="129">
        <v>373.54564927397007</v>
      </c>
      <c r="AC8" s="129">
        <v>393.58531274976764</v>
      </c>
      <c r="AD8" s="129">
        <v>365.45068415521746</v>
      </c>
      <c r="AE8" s="129">
        <v>307.72238142275376</v>
      </c>
      <c r="AF8" s="129">
        <v>305.36299623753501</v>
      </c>
      <c r="AG8" s="129">
        <v>314.10861611949468</v>
      </c>
      <c r="AH8" s="129">
        <v>300.0555049442018</v>
      </c>
      <c r="AI8" s="129">
        <v>293.00887247759891</v>
      </c>
      <c r="AJ8" s="129">
        <v>279.22879626982632</v>
      </c>
      <c r="AK8" s="129">
        <v>294.31315256571168</v>
      </c>
      <c r="AL8" s="129">
        <v>279.39778957140936</v>
      </c>
      <c r="AM8" s="129">
        <v>266.76955282809666</v>
      </c>
      <c r="AN8" s="129">
        <v>264.03814653455015</v>
      </c>
      <c r="AO8" s="129">
        <v>266.95180683583476</v>
      </c>
      <c r="AP8" s="129">
        <v>273.6200506406762</v>
      </c>
      <c r="AQ8" s="129">
        <f>'6. PF Income Statement'!AV13</f>
        <v>272.93799999999999</v>
      </c>
      <c r="AR8" s="129">
        <f>'6. PF Income Statement'!AW13</f>
        <v>253.12</v>
      </c>
      <c r="AS8" s="129">
        <f>'6. PF Income Statement'!AX13</f>
        <v>264.39999999999998</v>
      </c>
      <c r="AT8" s="129">
        <f>'6. PF Income Statement'!AY13</f>
        <v>258.80899999999997</v>
      </c>
      <c r="AV8" s="129">
        <v>1586.2220834294674</v>
      </c>
      <c r="AW8" s="129"/>
      <c r="AX8" s="129">
        <v>1562.3369830131328</v>
      </c>
      <c r="AY8" s="129"/>
      <c r="AZ8" s="129">
        <v>1292.5617081650009</v>
      </c>
      <c r="BA8" s="129"/>
      <c r="BB8" s="129">
        <v>1166.6063262573389</v>
      </c>
      <c r="BC8" s="129"/>
      <c r="BD8" s="129">
        <v>1077.1572957698909</v>
      </c>
      <c r="BE8" s="129"/>
      <c r="BF8" s="129">
        <v>1071.3795568391579</v>
      </c>
      <c r="BG8" s="129">
        <f>AQ8+AP8+AO8+AN8</f>
        <v>1077.548004011061</v>
      </c>
      <c r="BH8" s="129">
        <f>AR8+AQ8+AP8+AO8</f>
        <v>1066.629857476511</v>
      </c>
      <c r="BI8" s="129">
        <f>AS8+AR8+AQ8+AP8</f>
        <v>1064.0780506406761</v>
      </c>
      <c r="BJ8" s="129">
        <f>SUM(AP8:AS8)</f>
        <v>1064.0780506406761</v>
      </c>
      <c r="BK8" s="129">
        <f>AT8+AS8+AR8+AQ8</f>
        <v>1049.2669999999998</v>
      </c>
    </row>
    <row r="9" spans="2:63" s="91" customFormat="1" ht="4.5" customHeight="1">
      <c r="B9" s="131"/>
      <c r="C9" s="129"/>
      <c r="D9" s="129"/>
      <c r="E9" s="129"/>
      <c r="F9" s="129"/>
      <c r="G9" s="129"/>
      <c r="H9" s="129"/>
      <c r="I9" s="129"/>
      <c r="K9" s="130"/>
      <c r="L9" s="129" t="s">
        <v>19</v>
      </c>
      <c r="M9" s="129"/>
      <c r="N9" s="129"/>
      <c r="O9" s="130"/>
      <c r="Q9" s="129"/>
      <c r="R9" s="132"/>
      <c r="S9" s="129"/>
      <c r="U9" s="83"/>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V9" s="129"/>
      <c r="AW9" s="132"/>
      <c r="AX9" s="129"/>
      <c r="AY9" s="132"/>
      <c r="AZ9" s="129"/>
      <c r="BA9" s="132"/>
      <c r="BB9" s="129"/>
      <c r="BC9" s="132"/>
      <c r="BD9" s="129"/>
      <c r="BE9" s="132"/>
      <c r="BF9" s="129"/>
      <c r="BG9" s="129"/>
      <c r="BH9" s="129"/>
      <c r="BI9" s="129"/>
      <c r="BJ9" s="129"/>
      <c r="BK9" s="129"/>
    </row>
    <row r="10" spans="2:63" s="91" customFormat="1" ht="15" customHeight="1">
      <c r="B10" s="133" t="s">
        <v>280</v>
      </c>
      <c r="C10" s="132">
        <v>307.84097557363856</v>
      </c>
      <c r="D10" s="132">
        <v>319.4456154511804</v>
      </c>
      <c r="E10" s="132">
        <v>302.01130481371024</v>
      </c>
      <c r="F10" s="132">
        <v>318.80656443495241</v>
      </c>
      <c r="G10" s="132">
        <v>326.48454047660698</v>
      </c>
      <c r="H10" s="132">
        <v>323.71836593971943</v>
      </c>
      <c r="I10" s="132">
        <v>309.27137346769598</v>
      </c>
      <c r="K10" s="130"/>
      <c r="L10" s="132">
        <f>SUM(C10:E10)</f>
        <v>929.29789583852926</v>
      </c>
      <c r="M10" s="132"/>
      <c r="N10" s="129">
        <f>SUM(G10:I10)</f>
        <v>959.47427988402239</v>
      </c>
      <c r="O10" s="130"/>
      <c r="Q10" s="129">
        <f>SUM(C10:F10)</f>
        <v>1248.1044602734817</v>
      </c>
      <c r="R10" s="129"/>
      <c r="S10" s="129">
        <f>SUM(F10:I10)</f>
        <v>1278.2808443189747</v>
      </c>
      <c r="U10" s="83"/>
      <c r="V10" s="132">
        <v>307.84097557363856</v>
      </c>
      <c r="W10" s="132">
        <v>319.4456154511804</v>
      </c>
      <c r="X10" s="132">
        <v>302.01130481371024</v>
      </c>
      <c r="Y10" s="132">
        <v>318.80656443495241</v>
      </c>
      <c r="Z10" s="132">
        <v>327.07720716660697</v>
      </c>
      <c r="AA10" s="132">
        <v>324.40731324971944</v>
      </c>
      <c r="AB10" s="132">
        <v>309.90033180769603</v>
      </c>
      <c r="AC10" s="132">
        <v>323.52430008397891</v>
      </c>
      <c r="AD10" s="132">
        <v>295.70650159217115</v>
      </c>
      <c r="AE10" s="132">
        <v>252.50342086557038</v>
      </c>
      <c r="AF10" s="132">
        <v>254.37352173684116</v>
      </c>
      <c r="AG10" s="132">
        <v>260.01775769021776</v>
      </c>
      <c r="AH10" s="132">
        <v>240.72465268165851</v>
      </c>
      <c r="AI10" s="132">
        <v>240.18456427399371</v>
      </c>
      <c r="AJ10" s="132">
        <v>229.10005340220812</v>
      </c>
      <c r="AK10" s="132">
        <v>233.62421185459587</v>
      </c>
      <c r="AL10" s="132">
        <v>222.44784637156047</v>
      </c>
      <c r="AM10" s="132">
        <v>216.32059086505495</v>
      </c>
      <c r="AN10" s="132">
        <v>210.53164815880027</v>
      </c>
      <c r="AO10" s="132">
        <v>214.17862423059435</v>
      </c>
      <c r="AP10" s="132">
        <v>215.81587419034699</v>
      </c>
      <c r="AQ10" s="132">
        <v>218.25916905361794</v>
      </c>
      <c r="AR10" s="132">
        <v>203.91311400227787</v>
      </c>
      <c r="AS10" s="132">
        <v>207.8</v>
      </c>
      <c r="AT10" s="132">
        <v>194.24</v>
      </c>
      <c r="AV10" s="132">
        <v>1248.1044602734817</v>
      </c>
      <c r="AW10" s="129"/>
      <c r="AX10" s="132">
        <v>1284.9091523080015</v>
      </c>
      <c r="AY10" s="129"/>
      <c r="AZ10" s="132">
        <v>1062.5182321148004</v>
      </c>
      <c r="BA10" s="129"/>
      <c r="BB10" s="132">
        <v>943.63348221245622</v>
      </c>
      <c r="BC10" s="129"/>
      <c r="BD10" s="132">
        <v>863.47870962601007</v>
      </c>
      <c r="BE10" s="129"/>
      <c r="BF10" s="132">
        <v>856.84673744479653</v>
      </c>
      <c r="BG10" s="132">
        <f>AQ10+AP10+AO10+AN10</f>
        <v>858.78531563335957</v>
      </c>
      <c r="BH10" s="132">
        <f>AR10+AQ10+AP10+AO10</f>
        <v>852.16678147683717</v>
      </c>
      <c r="BI10" s="132">
        <f>AS10+AR10+AQ10+AP10</f>
        <v>845.7881572462428</v>
      </c>
      <c r="BJ10" s="132">
        <f>SUM(AP10:AS10)</f>
        <v>845.78815724624292</v>
      </c>
      <c r="BK10" s="132">
        <f>AT10+AS10+AR10+AQ10</f>
        <v>824.2122830558958</v>
      </c>
    </row>
    <row r="11" spans="2:63" s="91" customFormat="1" ht="4.5" customHeight="1">
      <c r="B11" s="131"/>
      <c r="C11" s="129"/>
      <c r="D11" s="129"/>
      <c r="E11" s="129"/>
      <c r="F11" s="129"/>
      <c r="G11" s="129"/>
      <c r="H11" s="129"/>
      <c r="I11" s="129"/>
      <c r="K11" s="130"/>
      <c r="L11" s="129"/>
      <c r="M11" s="129"/>
      <c r="N11" s="129"/>
      <c r="O11" s="130"/>
      <c r="Q11" s="129"/>
      <c r="R11" s="132"/>
      <c r="S11" s="129"/>
      <c r="U11" s="83"/>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V11" s="129"/>
      <c r="AW11" s="132"/>
      <c r="AX11" s="129"/>
      <c r="AY11" s="132"/>
      <c r="AZ11" s="129"/>
      <c r="BA11" s="132"/>
      <c r="BB11" s="129"/>
      <c r="BC11" s="132"/>
      <c r="BD11" s="129"/>
      <c r="BE11" s="132"/>
      <c r="BF11" s="129"/>
      <c r="BG11" s="129"/>
      <c r="BH11" s="129"/>
      <c r="BI11" s="129"/>
      <c r="BJ11" s="129"/>
      <c r="BK11" s="129"/>
    </row>
    <row r="12" spans="2:63" s="91" customFormat="1" ht="15" customHeight="1">
      <c r="B12" s="133" t="s">
        <v>251</v>
      </c>
      <c r="C12" s="132">
        <v>99.374776309275774</v>
      </c>
      <c r="D12" s="132">
        <v>96.428110372286369</v>
      </c>
      <c r="E12" s="132">
        <v>87.094036894476744</v>
      </c>
      <c r="F12" s="132">
        <v>93.450945586326554</v>
      </c>
      <c r="G12" s="132">
        <v>96.883051456754401</v>
      </c>
      <c r="H12" s="132">
        <v>92.153609872692471</v>
      </c>
      <c r="I12" s="132">
        <v>81.694758531899765</v>
      </c>
      <c r="K12" s="130"/>
      <c r="L12" s="132">
        <f>SUM(C12:E12)</f>
        <v>282.89692357603889</v>
      </c>
      <c r="M12" s="132"/>
      <c r="N12" s="129">
        <f>SUM(G12:I12)</f>
        <v>270.73141986134664</v>
      </c>
      <c r="O12" s="130"/>
      <c r="Q12" s="129">
        <f>SUM(C12:F12)</f>
        <v>376.34786916236544</v>
      </c>
      <c r="R12" s="129"/>
      <c r="S12" s="129">
        <f>SUM(F12:I12)</f>
        <v>364.18236544767319</v>
      </c>
      <c r="U12" s="83"/>
      <c r="V12" s="132">
        <v>97.690617939275839</v>
      </c>
      <c r="W12" s="132">
        <v>94.784606852286331</v>
      </c>
      <c r="X12" s="132">
        <v>85.354229324476833</v>
      </c>
      <c r="Y12" s="132">
        <v>92.252816836326588</v>
      </c>
      <c r="Z12" s="132">
        <v>93.114194106754383</v>
      </c>
      <c r="AA12" s="132">
        <v>85.596390312692449</v>
      </c>
      <c r="AB12" s="132">
        <v>76.87862698189987</v>
      </c>
      <c r="AC12" s="132">
        <v>80.397345325892303</v>
      </c>
      <c r="AD12" s="132">
        <v>72.912160497721459</v>
      </c>
      <c r="AE12" s="132">
        <v>65.934659738783353</v>
      </c>
      <c r="AF12" s="132">
        <v>70.982478282547845</v>
      </c>
      <c r="AG12" s="132">
        <v>59.11207230893551</v>
      </c>
      <c r="AH12" s="132">
        <v>67.468784759292745</v>
      </c>
      <c r="AI12" s="132">
        <v>83.929275508360831</v>
      </c>
      <c r="AJ12" s="132">
        <v>67.497590108530133</v>
      </c>
      <c r="AK12" s="132">
        <v>58.61610793942809</v>
      </c>
      <c r="AL12" s="132">
        <v>55.894264129883858</v>
      </c>
      <c r="AM12" s="132">
        <v>49.492586280161319</v>
      </c>
      <c r="AN12" s="132">
        <v>46.195680334709614</v>
      </c>
      <c r="AO12" s="132">
        <v>48.100812935486971</v>
      </c>
      <c r="AP12" s="132">
        <v>57.153306676730097</v>
      </c>
      <c r="AQ12" s="132">
        <v>60.9</v>
      </c>
      <c r="AR12" s="132">
        <v>54.7</v>
      </c>
      <c r="AS12" s="132">
        <f>'6. PF Income Statement'!AX17</f>
        <v>57.953557167948389</v>
      </c>
      <c r="AT12" s="132">
        <f>'6. PF Income Statement'!AY17</f>
        <v>56.82099999999997</v>
      </c>
      <c r="AV12" s="132">
        <v>370.0822709523656</v>
      </c>
      <c r="AW12" s="129"/>
      <c r="AX12" s="132">
        <v>335.98655672723896</v>
      </c>
      <c r="AY12" s="129"/>
      <c r="AZ12" s="132">
        <v>269.01724651798827</v>
      </c>
      <c r="BA12" s="129"/>
      <c r="BB12" s="132">
        <v>277.51175831561181</v>
      </c>
      <c r="BC12" s="129"/>
      <c r="BD12" s="132">
        <v>199.68334368024176</v>
      </c>
      <c r="BE12" s="129"/>
      <c r="BF12" s="132">
        <v>200.94283533708796</v>
      </c>
      <c r="BG12" s="132">
        <f>AQ12+AP12+AO12+AN12</f>
        <v>212.34979994692668</v>
      </c>
      <c r="BH12" s="132">
        <f>AR12+AQ12+AP12+AO12</f>
        <v>220.85411961221706</v>
      </c>
      <c r="BI12" s="132">
        <f>AS12+AR12+AQ12+AP12</f>
        <v>230.70686384467848</v>
      </c>
      <c r="BJ12" s="132">
        <f>SUM(AP12:AS12)</f>
        <v>230.70686384467851</v>
      </c>
      <c r="BK12" s="132">
        <f>AT12+AS12+AR12+AQ12</f>
        <v>230.37455716794838</v>
      </c>
    </row>
    <row r="13" spans="2:63" s="91" customFormat="1" ht="15" customHeight="1">
      <c r="B13" s="134" t="s">
        <v>281</v>
      </c>
      <c r="C13" s="135">
        <f t="shared" ref="C13:H13" si="0">C12/C10</f>
        <v>0.32281204970877686</v>
      </c>
      <c r="D13" s="135">
        <f t="shared" si="0"/>
        <v>0.30186080418130856</v>
      </c>
      <c r="E13" s="135">
        <f t="shared" si="0"/>
        <v>0.28838005566778036</v>
      </c>
      <c r="F13" s="135">
        <f t="shared" si="0"/>
        <v>0.29312741960617245</v>
      </c>
      <c r="G13" s="135">
        <f t="shared" si="0"/>
        <v>0.29674621443123489</v>
      </c>
      <c r="H13" s="135">
        <f t="shared" si="0"/>
        <v>0.28467217053064164</v>
      </c>
      <c r="I13" s="135">
        <f>I12/I10</f>
        <v>0.26415234496455248</v>
      </c>
      <c r="K13" s="130"/>
      <c r="L13" s="135">
        <f>L12/L10</f>
        <v>0.30442006254708426</v>
      </c>
      <c r="M13" s="135"/>
      <c r="N13" s="135">
        <f>N12/N10</f>
        <v>0.28216641710715956</v>
      </c>
      <c r="O13" s="130"/>
      <c r="Q13" s="135">
        <f t="shared" ref="Q13:S13" si="1">Q12/Q10</f>
        <v>0.30153555342627408</v>
      </c>
      <c r="R13" s="129"/>
      <c r="S13" s="135">
        <f t="shared" si="1"/>
        <v>0.28490011961471379</v>
      </c>
      <c r="U13" s="83"/>
      <c r="V13" s="135">
        <v>0.31734117837054249</v>
      </c>
      <c r="W13" s="135">
        <v>0.29671594245679006</v>
      </c>
      <c r="X13" s="135">
        <v>0.28261931909179994</v>
      </c>
      <c r="Y13" s="135">
        <v>0.28936925122553225</v>
      </c>
      <c r="Z13" s="135">
        <v>0.28468567074233259</v>
      </c>
      <c r="AA13" s="135">
        <v>0.26385468766175074</v>
      </c>
      <c r="AB13" s="135">
        <v>0.24807532968246623</v>
      </c>
      <c r="AC13" s="135">
        <v>0.24850481186428081</v>
      </c>
      <c r="AD13" s="135">
        <v>0.24656935206071171</v>
      </c>
      <c r="AE13" s="135">
        <v>0.26112382760107689</v>
      </c>
      <c r="AF13" s="135">
        <v>0.27904821931891893</v>
      </c>
      <c r="AG13" s="135">
        <v>0.22733859730980746</v>
      </c>
      <c r="AH13" s="135">
        <v>0.28027368201675418</v>
      </c>
      <c r="AI13" s="135">
        <v>0.3494365916563123</v>
      </c>
      <c r="AJ13" s="135">
        <v>0.29462057780506645</v>
      </c>
      <c r="AK13" s="135">
        <v>0.25089911475403864</v>
      </c>
      <c r="AL13" s="135">
        <v>0.25126907291573508</v>
      </c>
      <c r="AM13" s="135">
        <v>0.22879276578453769</v>
      </c>
      <c r="AN13" s="135">
        <v>0.21942392385521553</v>
      </c>
      <c r="AO13" s="135">
        <v>0.2245826963744966</v>
      </c>
      <c r="AP13" s="135">
        <v>0.26482438741425279</v>
      </c>
      <c r="AQ13" s="135">
        <f>AQ12/AQ10</f>
        <v>0.27902607832727155</v>
      </c>
      <c r="AR13" s="135">
        <f>AR12/AR10</f>
        <v>0.26825150637142919</v>
      </c>
      <c r="AS13" s="135">
        <f>AS12/AS10</f>
        <v>0.27889103545692195</v>
      </c>
      <c r="AT13" s="135">
        <f>AT12/AT10</f>
        <v>0.29252985996705089</v>
      </c>
      <c r="AV13" s="135">
        <v>0.29651546223244329</v>
      </c>
      <c r="AW13" s="129"/>
      <c r="AX13" s="135">
        <v>0.26148662426734798</v>
      </c>
      <c r="AY13" s="129"/>
      <c r="AZ13" s="135">
        <v>0.25318835798473349</v>
      </c>
      <c r="BA13" s="129"/>
      <c r="BB13" s="135">
        <v>0.2940885031600976</v>
      </c>
      <c r="BC13" s="129"/>
      <c r="BD13" s="135">
        <v>0.23125450744087092</v>
      </c>
      <c r="BE13" s="129"/>
      <c r="BF13" s="135">
        <v>0.23451432625666496</v>
      </c>
      <c r="BG13" s="135">
        <f>BG12/BG10</f>
        <v>0.24726761867174843</v>
      </c>
      <c r="BH13" s="135">
        <f>BH12/BH10</f>
        <v>0.25916771741497424</v>
      </c>
      <c r="BI13" s="135">
        <f>BI12/BI10</f>
        <v>0.27277145212794751</v>
      </c>
      <c r="BJ13" s="135">
        <f>BJ12/BJ10</f>
        <v>0.27277145212794751</v>
      </c>
      <c r="BK13" s="135">
        <f>BK12/BK10</f>
        <v>0.27950876479758191</v>
      </c>
    </row>
    <row r="14" spans="2:63" s="91" customFormat="1" ht="6" customHeight="1">
      <c r="B14" s="134"/>
      <c r="K14" s="130"/>
      <c r="O14" s="130"/>
      <c r="U14" s="83"/>
    </row>
    <row r="15" spans="2:63" s="91" customFormat="1" ht="15" customHeight="1">
      <c r="B15" s="136" t="s">
        <v>282</v>
      </c>
      <c r="K15" s="130"/>
      <c r="O15" s="130"/>
      <c r="U15" s="83"/>
      <c r="AP15" s="264"/>
    </row>
    <row r="16" spans="2:63" ht="15" customHeight="1">
      <c r="B16" s="8"/>
    </row>
    <row r="17" spans="2:63" ht="15" customHeight="1">
      <c r="B17" s="8"/>
    </row>
    <row r="18" spans="2:63" ht="18">
      <c r="B18" s="11" t="s">
        <v>283</v>
      </c>
      <c r="C18" s="14"/>
      <c r="D18" s="14"/>
      <c r="E18" s="14"/>
      <c r="F18" s="14"/>
      <c r="G18" s="14"/>
      <c r="H18" s="14"/>
      <c r="I18" s="14"/>
      <c r="J18" s="14"/>
      <c r="K18" s="14"/>
      <c r="L18" s="14"/>
      <c r="M18" s="14"/>
      <c r="N18" s="14"/>
      <c r="O18" s="14"/>
      <c r="P18" s="14"/>
      <c r="Q18" s="14"/>
      <c r="R18" s="14"/>
      <c r="S18" s="14"/>
      <c r="T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row>
    <row r="19" spans="2:63">
      <c r="B19" s="15" t="s">
        <v>221</v>
      </c>
      <c r="C19" s="16"/>
      <c r="D19" s="16"/>
      <c r="E19" s="16"/>
      <c r="F19" s="16"/>
      <c r="G19" s="16"/>
      <c r="H19" s="16"/>
      <c r="I19" s="16"/>
      <c r="J19" s="16"/>
      <c r="L19" s="16"/>
      <c r="N19" s="16"/>
      <c r="Q19" s="16"/>
      <c r="S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V19" s="16"/>
      <c r="AX19" s="16"/>
      <c r="AZ19" s="16"/>
      <c r="BB19" s="16"/>
      <c r="BD19" s="16"/>
      <c r="BF19" s="16"/>
      <c r="BG19" s="16"/>
      <c r="BH19" s="16"/>
      <c r="BI19" s="16"/>
      <c r="BJ19" s="16"/>
      <c r="BK19" s="16"/>
    </row>
    <row r="20" spans="2:63" s="20" customFormat="1" ht="15" customHeight="1">
      <c r="B20" s="17"/>
      <c r="C20" s="17"/>
      <c r="D20" s="17"/>
      <c r="E20" s="17"/>
      <c r="F20" s="17"/>
      <c r="G20" s="17"/>
      <c r="H20" s="17"/>
      <c r="I20" s="17"/>
      <c r="J20" s="18"/>
      <c r="K20" s="19"/>
      <c r="L20" s="17"/>
      <c r="M20" s="17"/>
      <c r="N20" s="17"/>
      <c r="O20" s="1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row>
    <row r="21" spans="2:63" s="91" customFormat="1" ht="20.25" customHeight="1">
      <c r="B21" s="100" t="s">
        <v>284</v>
      </c>
      <c r="C21" s="137">
        <v>-23.994169716129981</v>
      </c>
      <c r="D21" s="137">
        <v>-25.181646646615707</v>
      </c>
      <c r="E21" s="137">
        <v>-28.940327654351755</v>
      </c>
      <c r="F21" s="137">
        <v>-84.400833497434618</v>
      </c>
      <c r="G21" s="137">
        <v>-29.907354720144671</v>
      </c>
      <c r="H21" s="137">
        <v>-34.146124491336671</v>
      </c>
      <c r="I21" s="137">
        <v>-133.42630382297824</v>
      </c>
      <c r="J21" s="137"/>
      <c r="K21" s="138"/>
      <c r="L21" s="137">
        <f>SUM(C21:E21)</f>
        <v>-78.11614401709744</v>
      </c>
      <c r="M21" s="137"/>
      <c r="N21" s="137">
        <f>SUM(G21:I21)</f>
        <v>-197.47978303445959</v>
      </c>
      <c r="O21" s="138"/>
      <c r="P21" s="139"/>
      <c r="Q21" s="137">
        <f>SUM(C21:F21)</f>
        <v>-162.51697751453207</v>
      </c>
      <c r="R21" s="137"/>
      <c r="S21" s="137">
        <f>SUM(F21:J21)</f>
        <v>-281.88061653189419</v>
      </c>
      <c r="T21" s="139"/>
      <c r="U21" s="139"/>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v>-39.201246742947923</v>
      </c>
      <c r="AI21" s="137">
        <v>-19.367835205832105</v>
      </c>
      <c r="AJ21" s="137">
        <v>-13.214479892515561</v>
      </c>
      <c r="AK21" s="137">
        <v>-70.605800725823713</v>
      </c>
      <c r="AL21" s="137">
        <v>-56.955702687415808</v>
      </c>
      <c r="AM21" s="137">
        <v>-79.199335170966691</v>
      </c>
      <c r="AN21" s="137">
        <v>-85.282014604149325</v>
      </c>
      <c r="AO21" s="137">
        <v>-194.14474893411267</v>
      </c>
      <c r="AP21" s="137">
        <v>-45.435302513722398</v>
      </c>
      <c r="AQ21" s="137">
        <f>'3. Income Statement'!AU23/1000</f>
        <v>-30.885999999999999</v>
      </c>
      <c r="AR21" s="137">
        <f>'3. Income Statement'!AV23/1000</f>
        <v>-23.108000000000001</v>
      </c>
      <c r="AS21" s="137">
        <f>'3. Income Statement'!AW23/1000</f>
        <v>-25.002586568986931</v>
      </c>
      <c r="AT21" s="137">
        <f>'3. Income Statement'!AY23/1000</f>
        <v>-25.573</v>
      </c>
      <c r="AU21" s="139"/>
      <c r="AV21" s="137">
        <v>-169.8066300346976</v>
      </c>
      <c r="AW21" s="137"/>
      <c r="AX21" s="137">
        <v>-509.11557494486613</v>
      </c>
      <c r="AY21" s="137"/>
      <c r="AZ21" s="137">
        <v>-178.53042873038547</v>
      </c>
      <c r="BA21" s="137"/>
      <c r="BB21" s="137">
        <v>-142.38936256711929</v>
      </c>
      <c r="BC21" s="137"/>
      <c r="BD21" s="137">
        <f>SUM(AL21:AO21)</f>
        <v>-415.58180139664449</v>
      </c>
      <c r="BE21" s="137"/>
      <c r="BF21" s="137">
        <v>-404.06095211295116</v>
      </c>
      <c r="BG21" s="137">
        <f>AQ21+AP21+AO21+AN21</f>
        <v>-355.74806605198438</v>
      </c>
      <c r="BH21" s="137">
        <f>AR21+AQ21+AP21+AO21</f>
        <v>-293.57405144783507</v>
      </c>
      <c r="BI21" s="137">
        <f>AS21+AR21+AQ21+AP21</f>
        <v>-124.43188908270932</v>
      </c>
      <c r="BJ21" s="137">
        <f>SUM(AP21:AS21)</f>
        <v>-124.43188908270933</v>
      </c>
      <c r="BK21" s="137">
        <f>AT21+AS21+AR21+AQ21</f>
        <v>-104.56958656898694</v>
      </c>
    </row>
    <row r="22" spans="2:63" s="91" customFormat="1" ht="3.75" customHeight="1">
      <c r="B22" s="100"/>
      <c r="C22" s="140">
        <v>0</v>
      </c>
      <c r="D22" s="140">
        <v>0</v>
      </c>
      <c r="E22" s="140">
        <v>0</v>
      </c>
      <c r="F22" s="140">
        <v>0</v>
      </c>
      <c r="G22" s="140">
        <v>0</v>
      </c>
      <c r="H22" s="140">
        <v>0</v>
      </c>
      <c r="I22" s="140">
        <v>0</v>
      </c>
      <c r="J22" s="137"/>
      <c r="K22" s="138"/>
      <c r="L22" s="140">
        <v>0</v>
      </c>
      <c r="M22" s="140"/>
      <c r="N22" s="140">
        <v>0</v>
      </c>
      <c r="O22" s="138"/>
      <c r="P22" s="140"/>
      <c r="Q22" s="140">
        <v>0</v>
      </c>
      <c r="R22" s="140"/>
      <c r="S22" s="140">
        <v>0</v>
      </c>
      <c r="T22" s="140"/>
      <c r="U22" s="140"/>
      <c r="V22" s="140">
        <v>0</v>
      </c>
      <c r="W22" s="140">
        <v>0</v>
      </c>
      <c r="X22" s="140">
        <v>0</v>
      </c>
      <c r="Y22" s="140">
        <v>0</v>
      </c>
      <c r="Z22" s="140">
        <v>0</v>
      </c>
      <c r="AA22" s="140">
        <v>0</v>
      </c>
      <c r="AB22" s="140">
        <v>0</v>
      </c>
      <c r="AC22" s="140">
        <v>0</v>
      </c>
      <c r="AD22" s="140">
        <v>0</v>
      </c>
      <c r="AE22" s="140">
        <v>0</v>
      </c>
      <c r="AF22" s="140">
        <v>0</v>
      </c>
      <c r="AG22" s="140">
        <v>0</v>
      </c>
      <c r="AH22" s="140">
        <v>0</v>
      </c>
      <c r="AI22" s="140">
        <v>0</v>
      </c>
      <c r="AJ22" s="140">
        <v>0</v>
      </c>
      <c r="AK22" s="140">
        <v>0</v>
      </c>
      <c r="AL22" s="140">
        <v>0</v>
      </c>
      <c r="AM22" s="140">
        <v>0</v>
      </c>
      <c r="AN22" s="140">
        <v>0</v>
      </c>
      <c r="AO22" s="140">
        <v>0</v>
      </c>
      <c r="AP22" s="140">
        <v>0</v>
      </c>
      <c r="AQ22" s="140"/>
      <c r="AR22" s="140"/>
      <c r="AS22" s="140"/>
      <c r="AT22" s="140"/>
      <c r="AU22" s="140"/>
      <c r="AV22" s="140">
        <v>0</v>
      </c>
      <c r="AW22" s="140"/>
      <c r="AX22" s="140">
        <v>0</v>
      </c>
      <c r="AY22" s="140"/>
      <c r="AZ22" s="140">
        <v>0</v>
      </c>
      <c r="BA22" s="140"/>
      <c r="BB22" s="140">
        <v>0</v>
      </c>
      <c r="BC22" s="140"/>
      <c r="BD22" s="140">
        <v>0</v>
      </c>
      <c r="BE22" s="140"/>
      <c r="BF22" s="140">
        <v>0</v>
      </c>
      <c r="BG22" s="140"/>
      <c r="BH22" s="140"/>
      <c r="BI22" s="140"/>
      <c r="BJ22" s="140">
        <v>0</v>
      </c>
      <c r="BK22" s="140"/>
    </row>
    <row r="23" spans="2:63" s="142" customFormat="1" ht="20.25" customHeight="1">
      <c r="B23" s="85" t="s">
        <v>285</v>
      </c>
      <c r="C23" s="90">
        <v>4.0245614308543001</v>
      </c>
      <c r="D23" s="90">
        <v>1.6192626574316002</v>
      </c>
      <c r="E23" s="90">
        <v>-0.73276578451199992</v>
      </c>
      <c r="F23" s="90">
        <v>3.4962613393438002</v>
      </c>
      <c r="G23" s="90">
        <v>4.7202028535554001</v>
      </c>
      <c r="H23" s="90">
        <v>4.7384604220091004</v>
      </c>
      <c r="I23" s="90">
        <v>-3.7694312783821</v>
      </c>
      <c r="J23" s="137"/>
      <c r="K23" s="138"/>
      <c r="L23" s="90">
        <f>SUM(C23:E23)</f>
        <v>4.9110583037739</v>
      </c>
      <c r="M23" s="90"/>
      <c r="N23" s="90">
        <f>SUM(G23:I23)</f>
        <v>5.6892319971824001</v>
      </c>
      <c r="O23" s="138"/>
      <c r="P23" s="139"/>
      <c r="Q23" s="90">
        <f>SUM(C23:F23)</f>
        <v>8.4073196431177006</v>
      </c>
      <c r="R23" s="90"/>
      <c r="S23" s="90">
        <f>SUM(F23:J23)</f>
        <v>9.1854933365261999</v>
      </c>
      <c r="T23" s="141"/>
      <c r="U23" s="141"/>
      <c r="V23" s="90">
        <v>4.0245614308543001</v>
      </c>
      <c r="W23" s="90">
        <v>1.6192626574316002</v>
      </c>
      <c r="X23" s="90">
        <v>-0.73276578451199992</v>
      </c>
      <c r="Y23" s="90">
        <v>3.4428197793437998</v>
      </c>
      <c r="Z23" s="90">
        <v>4.7202028535554001</v>
      </c>
      <c r="AA23" s="90">
        <v>4.7384604220091004</v>
      </c>
      <c r="AB23" s="90">
        <v>-3.7694312783821</v>
      </c>
      <c r="AC23" s="90">
        <v>1.9523233556628006</v>
      </c>
      <c r="AD23" s="90">
        <v>2.4586613119499998</v>
      </c>
      <c r="AE23" s="90">
        <v>0.66140116666259996</v>
      </c>
      <c r="AF23" s="90">
        <v>0.31957418350849998</v>
      </c>
      <c r="AG23" s="90">
        <v>10.144008113469898</v>
      </c>
      <c r="AH23" s="90">
        <v>-1.7908418343099971E-2</v>
      </c>
      <c r="AI23" s="90">
        <v>2.0072242327776997</v>
      </c>
      <c r="AJ23" s="90">
        <v>1.4412132396830002</v>
      </c>
      <c r="AK23" s="90">
        <v>8.2253547152708002</v>
      </c>
      <c r="AL23" s="90">
        <v>2.5006993718013995</v>
      </c>
      <c r="AM23" s="90">
        <v>1.2963981131621001</v>
      </c>
      <c r="AN23" s="90">
        <v>1.9238426670375002</v>
      </c>
      <c r="AO23" s="90">
        <v>-1.5221469721214</v>
      </c>
      <c r="AP23" s="90">
        <v>2.6626977314349998</v>
      </c>
      <c r="AQ23" s="90">
        <v>2.5350000000000001</v>
      </c>
      <c r="AR23" s="90">
        <f>1807/1000</f>
        <v>1.8069999999999999</v>
      </c>
      <c r="AS23" s="90">
        <f>-'3. Income Statement'!AW22/1000</f>
        <v>1.8626118149941999</v>
      </c>
      <c r="AT23" s="90">
        <f>-'3. Income Statement'!AY22/1000</f>
        <v>3.1259999999999999</v>
      </c>
      <c r="AU23" s="139"/>
      <c r="AV23" s="90">
        <v>8.3538780831176993</v>
      </c>
      <c r="AW23" s="90"/>
      <c r="AX23" s="90">
        <v>7.6415553528452005</v>
      </c>
      <c r="AY23" s="90"/>
      <c r="AZ23" s="90">
        <v>13.583644775590997</v>
      </c>
      <c r="BA23" s="90"/>
      <c r="BB23" s="90">
        <v>11.655883769388399</v>
      </c>
      <c r="BC23" s="90"/>
      <c r="BD23" s="90">
        <f t="shared" ref="BD23:BD40" si="2">SUM(AL23:AO23)</f>
        <v>4.1987931798795994</v>
      </c>
      <c r="BE23" s="90"/>
      <c r="BF23" s="90">
        <v>4.3607915395132002</v>
      </c>
      <c r="BG23" s="90">
        <f t="shared" ref="BG23:BG25" si="3">AQ23+AP23+AO23+AN23</f>
        <v>5.5993934263510994</v>
      </c>
      <c r="BH23" s="90">
        <f t="shared" ref="BH23:BI25" si="4">AR23+AQ23+AP23+AO23</f>
        <v>5.4825507593136003</v>
      </c>
      <c r="BI23" s="90">
        <f t="shared" si="4"/>
        <v>8.8673095464291993</v>
      </c>
      <c r="BJ23" s="90">
        <f>SUM(AP23:AS23)+0.03</f>
        <v>8.8973095464291987</v>
      </c>
      <c r="BK23" s="90">
        <f>AT23+AS23+AR23+AQ23</f>
        <v>9.3306118149941994</v>
      </c>
    </row>
    <row r="24" spans="2:63" s="142" customFormat="1" ht="20.25" customHeight="1">
      <c r="B24" s="85" t="s">
        <v>286</v>
      </c>
      <c r="C24" s="90">
        <v>38.017393313901799</v>
      </c>
      <c r="D24" s="90">
        <v>38.526757939818204</v>
      </c>
      <c r="E24" s="90">
        <v>38.338892534383994</v>
      </c>
      <c r="F24" s="90">
        <v>38.211970332581501</v>
      </c>
      <c r="G24" s="90">
        <v>38.899343972980901</v>
      </c>
      <c r="H24" s="90">
        <v>39.131551665963201</v>
      </c>
      <c r="I24" s="90">
        <v>39.746996512572103</v>
      </c>
      <c r="J24" s="137"/>
      <c r="K24" s="138"/>
      <c r="L24" s="90">
        <f>SUM(C24:E24)</f>
        <v>114.883043788104</v>
      </c>
      <c r="M24" s="90"/>
      <c r="N24" s="90">
        <f>SUM(G24:I24)</f>
        <v>117.7778921515162</v>
      </c>
      <c r="O24" s="138"/>
      <c r="P24" s="139"/>
      <c r="Q24" s="90">
        <f>SUM(C24:F24)</f>
        <v>153.09501412068551</v>
      </c>
      <c r="R24" s="90"/>
      <c r="S24" s="90">
        <f>SUM(F24:J24)</f>
        <v>155.9898624840977</v>
      </c>
      <c r="T24" s="141"/>
      <c r="U24" s="141"/>
      <c r="V24" s="90">
        <v>38.676746273901799</v>
      </c>
      <c r="W24" s="90">
        <v>39.2290785798182</v>
      </c>
      <c r="X24" s="90">
        <v>39.086550774384001</v>
      </c>
      <c r="Y24" s="90">
        <v>38.998989852581502</v>
      </c>
      <c r="Z24" s="90">
        <v>39.701201252980901</v>
      </c>
      <c r="AA24" s="90">
        <v>39.958344625963207</v>
      </c>
      <c r="AB24" s="90">
        <v>40.572862112572103</v>
      </c>
      <c r="AC24" s="90">
        <v>43.216858298533602</v>
      </c>
      <c r="AD24" s="90">
        <v>41.588076052196399</v>
      </c>
      <c r="AE24" s="90">
        <v>44.439529747132894</v>
      </c>
      <c r="AF24" s="90">
        <v>43.611872858780295</v>
      </c>
      <c r="AG24" s="90">
        <v>44.238633740633901</v>
      </c>
      <c r="AH24" s="90">
        <v>43.131398288374392</v>
      </c>
      <c r="AI24" s="90">
        <v>42.867125260039501</v>
      </c>
      <c r="AJ24" s="90">
        <v>41.757481009753704</v>
      </c>
      <c r="AK24" s="90">
        <v>40.292279872471397</v>
      </c>
      <c r="AL24" s="90">
        <v>39.759515191138298</v>
      </c>
      <c r="AM24" s="90">
        <v>42.270976945385407</v>
      </c>
      <c r="AN24" s="90">
        <v>40.896734075176802</v>
      </c>
      <c r="AO24" s="90">
        <v>41.942991545857204</v>
      </c>
      <c r="AP24" s="90">
        <v>44.180240255625193</v>
      </c>
      <c r="AQ24" s="90">
        <v>45.09</v>
      </c>
      <c r="AR24" s="90">
        <v>24.7</v>
      </c>
      <c r="AS24" s="90">
        <f>'3. Income Statement'!AW17/1000</f>
        <v>25.675814713159699</v>
      </c>
      <c r="AT24" s="90">
        <f>'3. Income Statement'!AY17/1000</f>
        <v>21.088000000000001</v>
      </c>
      <c r="AU24" s="139"/>
      <c r="AV24" s="90">
        <v>155.99136548068549</v>
      </c>
      <c r="AW24" s="90"/>
      <c r="AX24" s="90">
        <v>163.44926629004979</v>
      </c>
      <c r="AY24" s="90"/>
      <c r="AZ24" s="90">
        <v>173.8781123987435</v>
      </c>
      <c r="BA24" s="90"/>
      <c r="BB24" s="90">
        <v>168.048284430639</v>
      </c>
      <c r="BC24" s="90"/>
      <c r="BD24" s="90">
        <f t="shared" si="2"/>
        <v>164.87021775755773</v>
      </c>
      <c r="BE24" s="90"/>
      <c r="BF24" s="90">
        <v>169.2909428220446</v>
      </c>
      <c r="BG24" s="90">
        <f t="shared" si="3"/>
        <v>172.1099658766592</v>
      </c>
      <c r="BH24" s="90">
        <f t="shared" si="4"/>
        <v>155.9132318014824</v>
      </c>
      <c r="BI24" s="90">
        <f t="shared" si="4"/>
        <v>139.64605496878488</v>
      </c>
      <c r="BJ24" s="90">
        <f>SUM(AP24:AS24)+0.05</f>
        <v>139.69605496878492</v>
      </c>
      <c r="BK24" s="90">
        <f>AT24+AS24+AR24+AQ24</f>
        <v>116.55381471315971</v>
      </c>
    </row>
    <row r="25" spans="2:63" s="91" customFormat="1" ht="20.25" customHeight="1">
      <c r="B25" s="85" t="s">
        <v>287</v>
      </c>
      <c r="C25" s="90">
        <v>38.018618993932499</v>
      </c>
      <c r="D25" s="90">
        <v>36.367826071883407</v>
      </c>
      <c r="E25" s="90">
        <v>35.041394911741094</v>
      </c>
      <c r="F25" s="90">
        <v>36.056722445731999</v>
      </c>
      <c r="G25" s="90">
        <v>28.019990338164398</v>
      </c>
      <c r="H25" s="90">
        <v>27.191358526818199</v>
      </c>
      <c r="I25" s="90">
        <v>27.114419088669401</v>
      </c>
      <c r="J25" s="137"/>
      <c r="K25" s="138"/>
      <c r="L25" s="90">
        <f>SUM(C25:E25)</f>
        <v>109.427839977557</v>
      </c>
      <c r="M25" s="90"/>
      <c r="N25" s="90">
        <f>SUM(G25:I25)</f>
        <v>82.32576795365199</v>
      </c>
      <c r="O25" s="138"/>
      <c r="P25" s="139"/>
      <c r="Q25" s="90">
        <f>SUM(C25:F25)</f>
        <v>145.48456242328899</v>
      </c>
      <c r="R25" s="90"/>
      <c r="S25" s="90">
        <f>SUM(F25:J25)</f>
        <v>118.38249039938398</v>
      </c>
      <c r="T25" s="141"/>
      <c r="U25" s="141"/>
      <c r="V25" s="90">
        <v>36.238780553932493</v>
      </c>
      <c r="W25" s="90">
        <v>34.743386751883413</v>
      </c>
      <c r="X25" s="90">
        <v>33.410204361741087</v>
      </c>
      <c r="Y25" s="90">
        <v>33.683920425732005</v>
      </c>
      <c r="Z25" s="90">
        <v>26.623925448164396</v>
      </c>
      <c r="AA25" s="90">
        <v>24.779190776818197</v>
      </c>
      <c r="AB25" s="90">
        <v>25.0792134486694</v>
      </c>
      <c r="AC25" s="90">
        <v>24.420305020264713</v>
      </c>
      <c r="AD25" s="90">
        <v>23.185106971654395</v>
      </c>
      <c r="AE25" s="90">
        <v>22.846980270624496</v>
      </c>
      <c r="AF25" s="90">
        <v>22.095318200919497</v>
      </c>
      <c r="AG25" s="90">
        <v>25.825117517902395</v>
      </c>
      <c r="AH25" s="90">
        <v>19.599366339017898</v>
      </c>
      <c r="AI25" s="90">
        <v>19.420261024426402</v>
      </c>
      <c r="AJ25" s="90">
        <v>19.094093517223403</v>
      </c>
      <c r="AK25" s="90">
        <v>19.035784499475199</v>
      </c>
      <c r="AL25" s="90">
        <v>18.211936959003797</v>
      </c>
      <c r="AM25" s="90">
        <v>17.9932005587596</v>
      </c>
      <c r="AN25" s="90">
        <v>17.736835087510897</v>
      </c>
      <c r="AO25" s="90">
        <v>17.889429652026479</v>
      </c>
      <c r="AP25" s="90">
        <v>16.559589989008799</v>
      </c>
      <c r="AQ25" s="90">
        <v>14.9</v>
      </c>
      <c r="AR25" s="90">
        <v>14.4</v>
      </c>
      <c r="AS25" s="90">
        <f>'3. Income Statement'!AW12/1000</f>
        <v>14.6869252937529</v>
      </c>
      <c r="AT25" s="90">
        <f>'3. Income Statement'!AY12/1000</f>
        <v>13.507</v>
      </c>
      <c r="AU25" s="139"/>
      <c r="AV25" s="90">
        <v>138.076292093289</v>
      </c>
      <c r="AW25" s="90"/>
      <c r="AX25" s="90">
        <v>100.90263469391672</v>
      </c>
      <c r="AY25" s="90"/>
      <c r="AZ25" s="90">
        <v>93.952522961100783</v>
      </c>
      <c r="BA25" s="90"/>
      <c r="BB25" s="90">
        <v>77.149505380142898</v>
      </c>
      <c r="BC25" s="90"/>
      <c r="BD25" s="90">
        <f t="shared" si="2"/>
        <v>71.831402257300766</v>
      </c>
      <c r="BE25" s="90"/>
      <c r="BF25" s="90">
        <v>70.179055287305772</v>
      </c>
      <c r="BG25" s="90">
        <f t="shared" si="3"/>
        <v>67.085854728546167</v>
      </c>
      <c r="BH25" s="90">
        <f t="shared" si="4"/>
        <v>63.749019641035275</v>
      </c>
      <c r="BI25" s="90">
        <f t="shared" si="4"/>
        <v>60.546515282761696</v>
      </c>
      <c r="BJ25" s="90">
        <f t="shared" ref="BJ25" si="5">SUM(AP25:AS25)</f>
        <v>60.546515282761696</v>
      </c>
      <c r="BK25" s="90">
        <f>AT25+AS25+AR25+AQ25</f>
        <v>57.493925293752895</v>
      </c>
    </row>
    <row r="26" spans="2:63" s="91" customFormat="1" ht="20.25" customHeight="1">
      <c r="B26" s="92" t="s">
        <v>288</v>
      </c>
      <c r="C26" s="143">
        <f t="shared" ref="C26:I26" si="6">SUM(C21:C25)</f>
        <v>56.066404022558615</v>
      </c>
      <c r="D26" s="143">
        <f t="shared" si="6"/>
        <v>51.332200022517505</v>
      </c>
      <c r="E26" s="143">
        <f t="shared" si="6"/>
        <v>43.707194007261336</v>
      </c>
      <c r="F26" s="143">
        <f t="shared" si="6"/>
        <v>-6.6358793797773146</v>
      </c>
      <c r="G26" s="143">
        <f t="shared" si="6"/>
        <v>41.732182444556031</v>
      </c>
      <c r="H26" s="143">
        <f t="shared" si="6"/>
        <v>36.915246123453826</v>
      </c>
      <c r="I26" s="143">
        <f t="shared" si="6"/>
        <v>-70.334319500118823</v>
      </c>
      <c r="J26" s="137"/>
      <c r="K26" s="138"/>
      <c r="L26" s="143">
        <f>SUM(C26:E26)</f>
        <v>151.10579805233746</v>
      </c>
      <c r="M26" s="143"/>
      <c r="N26" s="143">
        <f>SUM(G26:I26)</f>
        <v>8.313109067891034</v>
      </c>
      <c r="O26" s="138"/>
      <c r="P26" s="139"/>
      <c r="Q26" s="143">
        <f>SUM(C26:F26)</f>
        <v>144.46991867256014</v>
      </c>
      <c r="R26" s="143"/>
      <c r="S26" s="143">
        <f>SUM(F26:J26)</f>
        <v>1.6772296881137265</v>
      </c>
      <c r="T26" s="139"/>
      <c r="U26" s="139"/>
      <c r="V26" s="143">
        <v>54.962296232393108</v>
      </c>
      <c r="W26" s="143">
        <v>45.081876322517473</v>
      </c>
      <c r="X26" s="143">
        <v>42.958430617261357</v>
      </c>
      <c r="Y26" s="143">
        <v>-10.38769754977735</v>
      </c>
      <c r="Z26" s="143">
        <v>38.873604984556039</v>
      </c>
      <c r="AA26" s="143">
        <v>27.905317223453849</v>
      </c>
      <c r="AB26" s="143">
        <v>-69.404782960118752</v>
      </c>
      <c r="AC26" s="143">
        <v>-234.49625785594549</v>
      </c>
      <c r="AD26" s="143">
        <v>54.561842675229386</v>
      </c>
      <c r="AE26" s="143">
        <v>19.258020604175801</v>
      </c>
      <c r="AF26" s="143">
        <v>37.710018815688358</v>
      </c>
      <c r="AG26" s="143">
        <v>-8.646030690043748</v>
      </c>
      <c r="AH26" s="143">
        <v>23.51160946610127</v>
      </c>
      <c r="AI26" s="143">
        <v>44.926775311411497</v>
      </c>
      <c r="AJ26" s="143">
        <v>49.078307874144542</v>
      </c>
      <c r="AK26" s="143">
        <v>-3.0523816386063203</v>
      </c>
      <c r="AL26" s="143">
        <v>3.5164488345276901</v>
      </c>
      <c r="AM26" s="143">
        <v>-17.638759553659586</v>
      </c>
      <c r="AN26" s="143">
        <v>-24.72460277442412</v>
      </c>
      <c r="AO26" s="143">
        <v>-135.83447470835037</v>
      </c>
      <c r="AP26" s="143">
        <v>17.967225462346597</v>
      </c>
      <c r="AQ26" s="143">
        <f>SUM(AQ21:AQ25)</f>
        <v>31.639000000000003</v>
      </c>
      <c r="AR26" s="143">
        <f>SUM(AR21:AR25)</f>
        <v>17.798999999999999</v>
      </c>
      <c r="AS26" s="143">
        <f>SUM(AS21:AS25)</f>
        <v>17.222765252919867</v>
      </c>
      <c r="AT26" s="143">
        <f>SUM(AT21:AT25)</f>
        <v>12.148000000000001</v>
      </c>
      <c r="AU26" s="139"/>
      <c r="AV26" s="143">
        <v>132.61490562239456</v>
      </c>
      <c r="AW26" s="143"/>
      <c r="AX26" s="143">
        <f t="shared" ref="AX26:BI26" si="7">SUM(AX21:AX25)</f>
        <v>-237.12211860805442</v>
      </c>
      <c r="AY26" s="143">
        <f t="shared" si="7"/>
        <v>0</v>
      </c>
      <c r="AZ26" s="143">
        <f t="shared" si="7"/>
        <v>102.88385140504982</v>
      </c>
      <c r="BA26" s="143">
        <f t="shared" si="7"/>
        <v>0</v>
      </c>
      <c r="BB26" s="143">
        <f t="shared" si="7"/>
        <v>114.464311013051</v>
      </c>
      <c r="BC26" s="143">
        <f t="shared" si="7"/>
        <v>0</v>
      </c>
      <c r="BD26" s="143">
        <f t="shared" si="7"/>
        <v>-174.6813882019064</v>
      </c>
      <c r="BE26" s="143">
        <f t="shared" si="7"/>
        <v>0</v>
      </c>
      <c r="BF26" s="143">
        <f t="shared" si="7"/>
        <v>-160.23016246408761</v>
      </c>
      <c r="BG26" s="143">
        <f t="shared" si="7"/>
        <v>-110.95285202042788</v>
      </c>
      <c r="BH26" s="143">
        <f t="shared" si="7"/>
        <v>-68.429249246003806</v>
      </c>
      <c r="BI26" s="143">
        <f t="shared" si="7"/>
        <v>84.627990715266463</v>
      </c>
      <c r="BJ26" s="143">
        <f>SUM(BJ21:BJ25)-0.05</f>
        <v>84.657990715266479</v>
      </c>
      <c r="BK26" s="143">
        <f t="shared" ref="BK26" si="8">SUM(BK21:BK25)</f>
        <v>78.808765252919869</v>
      </c>
    </row>
    <row r="27" spans="2:63" s="91" customFormat="1" ht="20.25" customHeight="1">
      <c r="B27" s="85" t="s">
        <v>289</v>
      </c>
      <c r="C27" s="90">
        <v>-3.3280820000000002</v>
      </c>
      <c r="D27" s="90">
        <v>-0.70405116730849993</v>
      </c>
      <c r="E27" s="90">
        <v>-0.78107599999999999</v>
      </c>
      <c r="F27" s="90">
        <v>2.9163480000000002</v>
      </c>
      <c r="G27" s="90">
        <v>1.6765460000000001</v>
      </c>
      <c r="H27" s="90">
        <v>2.7083889999999999</v>
      </c>
      <c r="I27" s="90">
        <v>0.57972100000000004</v>
      </c>
      <c r="J27" s="90"/>
      <c r="K27" s="138"/>
      <c r="L27" s="90">
        <f>SUM(C27:E27)</f>
        <v>-4.8132091673085</v>
      </c>
      <c r="M27" s="90"/>
      <c r="N27" s="90">
        <f>SUM(G27:I27)</f>
        <v>4.9646560000000006</v>
      </c>
      <c r="O27" s="138"/>
      <c r="P27" s="139"/>
      <c r="Q27" s="90">
        <f>SUM(C27:F27)</f>
        <v>-1.8968611673084999</v>
      </c>
      <c r="R27" s="90"/>
      <c r="S27" s="90">
        <f>SUM(F27:J27)</f>
        <v>7.8810039999999999</v>
      </c>
      <c r="T27" s="141"/>
      <c r="U27" s="141"/>
      <c r="V27" s="90">
        <v>-3.3280820000000002</v>
      </c>
      <c r="W27" s="90">
        <v>-0.70405116730849993</v>
      </c>
      <c r="X27" s="90">
        <v>-0.78107599999999999</v>
      </c>
      <c r="Y27" s="90">
        <v>2.9163480000000002</v>
      </c>
      <c r="Z27" s="90">
        <v>1.6765460000000001</v>
      </c>
      <c r="AA27" s="90">
        <v>2.7083889999999999</v>
      </c>
      <c r="AB27" s="90">
        <v>0.57972100000000004</v>
      </c>
      <c r="AC27" s="90">
        <v>-0.6274558499999987</v>
      </c>
      <c r="AD27" s="90">
        <v>0.84546264999998755</v>
      </c>
      <c r="AE27" s="90">
        <v>-0.40503427000000003</v>
      </c>
      <c r="AF27" s="90">
        <v>-0.94746917000000153</v>
      </c>
      <c r="AG27" s="90">
        <v>0.70763949000000004</v>
      </c>
      <c r="AH27" s="90">
        <v>-0.12537607000000001</v>
      </c>
      <c r="AI27" s="90">
        <v>0</v>
      </c>
      <c r="AJ27" s="90">
        <v>0</v>
      </c>
      <c r="AK27" s="90">
        <v>-0.76763337000000043</v>
      </c>
      <c r="AL27" s="90">
        <v>-3.7895280000003417E-2</v>
      </c>
      <c r="AM27" s="90">
        <v>0</v>
      </c>
      <c r="AN27" s="90">
        <v>-1.0912500000000001</v>
      </c>
      <c r="AO27" s="90">
        <v>0</v>
      </c>
      <c r="AP27" s="90">
        <v>0</v>
      </c>
      <c r="AQ27" s="90">
        <v>0</v>
      </c>
      <c r="AR27" s="90">
        <v>0</v>
      </c>
      <c r="AS27" s="90">
        <v>0</v>
      </c>
      <c r="AT27" s="90">
        <v>0</v>
      </c>
      <c r="AU27" s="139"/>
      <c r="AV27" s="90">
        <v>-1.8968611673084999</v>
      </c>
      <c r="AW27" s="90"/>
      <c r="AX27" s="90">
        <v>4.3372001500000019</v>
      </c>
      <c r="AY27" s="90"/>
      <c r="AZ27" s="90">
        <v>0.20059869999998603</v>
      </c>
      <c r="BA27" s="90"/>
      <c r="BB27" s="90">
        <v>-0.89300944000000038</v>
      </c>
      <c r="BC27" s="90"/>
      <c r="BD27" s="90">
        <f t="shared" si="2"/>
        <v>-1.1291452800000035</v>
      </c>
      <c r="BE27" s="90"/>
      <c r="BF27" s="90">
        <v>-1.1805207181787001</v>
      </c>
      <c r="BG27" s="90">
        <f t="shared" ref="BG27" si="9">AQ27+AP27+AO27+AN27</f>
        <v>-1.0912500000000001</v>
      </c>
      <c r="BH27" s="90">
        <f t="shared" ref="BH27:BI27" si="10">AR27+AQ27+AP27+AO27</f>
        <v>0</v>
      </c>
      <c r="BI27" s="90">
        <f t="shared" si="10"/>
        <v>0</v>
      </c>
      <c r="BJ27" s="90">
        <f>SUM(AP27:AS27)</f>
        <v>0</v>
      </c>
      <c r="BK27" s="90">
        <f t="shared" ref="BK27:BK42" si="11">AT27+AS27+AR27+AQ27</f>
        <v>0</v>
      </c>
    </row>
    <row r="28" spans="2:63" s="91" customFormat="1" ht="20.25" customHeight="1">
      <c r="B28" s="85" t="s">
        <v>290</v>
      </c>
      <c r="C28" s="90">
        <v>6.0520496107770967</v>
      </c>
      <c r="D28" s="90">
        <v>9.731205182492392</v>
      </c>
      <c r="E28" s="90">
        <v>9.2411634863415415</v>
      </c>
      <c r="F28" s="90">
        <v>57.866360968669724</v>
      </c>
      <c r="G28" s="90">
        <v>6.0723130853570311</v>
      </c>
      <c r="H28" s="90">
        <v>8.9987973391436924</v>
      </c>
      <c r="I28" s="90">
        <v>110.29667522140849</v>
      </c>
      <c r="J28" s="90"/>
      <c r="K28" s="138"/>
      <c r="L28" s="90">
        <f t="shared" ref="L28:L43" si="12">SUM(C28:E28)</f>
        <v>25.02441827961103</v>
      </c>
      <c r="M28" s="90"/>
      <c r="N28" s="90">
        <f t="shared" ref="N28:N43" si="13">SUM(G28:I28)</f>
        <v>125.36778564590921</v>
      </c>
      <c r="O28" s="138"/>
      <c r="P28" s="139"/>
      <c r="Q28" s="90">
        <f t="shared" ref="Q28:Q43" si="14">SUM(C28:F28)</f>
        <v>82.890779248280751</v>
      </c>
      <c r="R28" s="90"/>
      <c r="S28" s="90">
        <f t="shared" ref="S28:S43" si="15">SUM(F28:J28)</f>
        <v>183.23414661457895</v>
      </c>
      <c r="T28" s="141"/>
      <c r="U28" s="141"/>
      <c r="V28" s="90">
        <v>7.1561575807770987</v>
      </c>
      <c r="W28" s="90">
        <v>10.225271883807665</v>
      </c>
      <c r="X28" s="90">
        <v>9.9899268433862076</v>
      </c>
      <c r="Y28" s="90">
        <v>59.010849011059832</v>
      </c>
      <c r="Z28" s="90">
        <v>11.134528053926807</v>
      </c>
      <c r="AA28" s="90">
        <v>13.528255669143702</v>
      </c>
      <c r="AB28" s="90">
        <v>111.3671385371788</v>
      </c>
      <c r="AC28" s="90">
        <v>271.91797769720739</v>
      </c>
      <c r="AD28" s="90">
        <v>-28.534270669929729</v>
      </c>
      <c r="AE28" s="90">
        <v>7.7581565778674193</v>
      </c>
      <c r="AF28" s="90">
        <v>-1.8904441357596506</v>
      </c>
      <c r="AG28" s="90">
        <v>30.716385685912222</v>
      </c>
      <c r="AH28" s="90">
        <v>13.064571225881641</v>
      </c>
      <c r="AI28" s="90">
        <v>-0.29372229342678025</v>
      </c>
      <c r="AJ28" s="90">
        <v>-19.325891852204165</v>
      </c>
      <c r="AK28" s="90">
        <v>28.149236472510974</v>
      </c>
      <c r="AL28" s="90">
        <f t="shared" ref="AL28:AS28" si="16">SUM(AL29:AL36)</f>
        <v>7.6037318281378994</v>
      </c>
      <c r="AM28" s="90">
        <f t="shared" si="16"/>
        <v>25.898502852346503</v>
      </c>
      <c r="AN28" s="90">
        <f t="shared" si="16"/>
        <v>29.85155864339443</v>
      </c>
      <c r="AO28" s="90">
        <f t="shared" si="16"/>
        <v>150.62453462271569</v>
      </c>
      <c r="AP28" s="90">
        <f t="shared" si="16"/>
        <v>-8.6635874981786998</v>
      </c>
      <c r="AQ28" s="90">
        <f t="shared" si="16"/>
        <v>-12.04793284</v>
      </c>
      <c r="AR28" s="90">
        <f t="shared" si="16"/>
        <v>-1.7302701914123997</v>
      </c>
      <c r="AS28" s="90">
        <f t="shared" si="16"/>
        <v>-8.6321710359326982</v>
      </c>
      <c r="AT28" s="90">
        <f t="shared" ref="AT28" si="17">SUM(AT29:AT36)</f>
        <v>0.58100000000000007</v>
      </c>
      <c r="AU28" s="139"/>
      <c r="AV28" s="90">
        <v>86.382205319030803</v>
      </c>
      <c r="AW28" s="90"/>
      <c r="AX28" s="90">
        <f t="shared" ref="AX28:BK28" si="18">SUM(AX29:AX36)</f>
        <v>407.94789995745668</v>
      </c>
      <c r="AY28" s="90">
        <f t="shared" si="18"/>
        <v>0</v>
      </c>
      <c r="AZ28" s="90">
        <f t="shared" si="18"/>
        <v>8.0498274580902596</v>
      </c>
      <c r="BA28" s="90">
        <f t="shared" si="18"/>
        <v>0</v>
      </c>
      <c r="BB28" s="90">
        <f t="shared" si="18"/>
        <v>21.594193552761659</v>
      </c>
      <c r="BC28" s="90">
        <f t="shared" si="18"/>
        <v>0</v>
      </c>
      <c r="BD28" s="90">
        <f t="shared" si="18"/>
        <v>213.97832794659453</v>
      </c>
      <c r="BE28" s="90">
        <f t="shared" si="18"/>
        <v>0</v>
      </c>
      <c r="BF28" s="90">
        <f t="shared" si="18"/>
        <v>197.71100862027794</v>
      </c>
      <c r="BG28" s="90">
        <f t="shared" si="18"/>
        <v>159.76457292793143</v>
      </c>
      <c r="BH28" s="90">
        <f t="shared" si="18"/>
        <v>128.1827440931246</v>
      </c>
      <c r="BI28" s="90">
        <f t="shared" si="18"/>
        <v>-35.402335565523799</v>
      </c>
      <c r="BJ28" s="90">
        <f t="shared" si="18"/>
        <v>-31.073961565523796</v>
      </c>
      <c r="BK28" s="90">
        <f t="shared" si="18"/>
        <v>-21.8293740673451</v>
      </c>
    </row>
    <row r="29" spans="2:63" s="91" customFormat="1" ht="20.25" customHeight="1" outlineLevel="1">
      <c r="B29" s="144" t="s">
        <v>291</v>
      </c>
      <c r="C29" s="145">
        <v>0.95912441999999998</v>
      </c>
      <c r="D29" s="145">
        <v>1.93619871</v>
      </c>
      <c r="E29" s="145">
        <v>1.6209346299999998</v>
      </c>
      <c r="F29" s="145">
        <v>3.1302560000000001</v>
      </c>
      <c r="G29" s="145">
        <v>2.7980813100000002</v>
      </c>
      <c r="H29" s="145">
        <v>2.6614233805567999</v>
      </c>
      <c r="I29" s="145">
        <v>1.44394077</v>
      </c>
      <c r="J29" s="90"/>
      <c r="K29" s="138"/>
      <c r="L29" s="145">
        <f t="shared" si="12"/>
        <v>4.5162577600000002</v>
      </c>
      <c r="M29" s="145"/>
      <c r="N29" s="145">
        <f t="shared" si="13"/>
        <v>6.9034454605568003</v>
      </c>
      <c r="O29" s="138"/>
      <c r="P29" s="139"/>
      <c r="Q29" s="145">
        <f t="shared" si="14"/>
        <v>7.6465137600000004</v>
      </c>
      <c r="R29" s="145"/>
      <c r="S29" s="145">
        <f t="shared" si="15"/>
        <v>10.033701460556799</v>
      </c>
      <c r="T29" s="141"/>
      <c r="U29" s="141"/>
      <c r="V29" s="145">
        <v>0.95912442000000009</v>
      </c>
      <c r="W29" s="145">
        <v>1.93619871</v>
      </c>
      <c r="X29" s="145">
        <v>1.6209346299999998</v>
      </c>
      <c r="Y29" s="145">
        <v>3.1302560000000001</v>
      </c>
      <c r="Z29" s="145">
        <v>2.7980813100000002</v>
      </c>
      <c r="AA29" s="145">
        <v>2.6614233805567999</v>
      </c>
      <c r="AB29" s="145">
        <v>1.44394077</v>
      </c>
      <c r="AC29" s="145">
        <v>0.92401189000000128</v>
      </c>
      <c r="AD29" s="145">
        <v>0.86109592000000001</v>
      </c>
      <c r="AE29" s="145">
        <v>0.92074082999999995</v>
      </c>
      <c r="AF29" s="145">
        <v>0.69777297999999999</v>
      </c>
      <c r="AG29" s="145">
        <v>0.36659309999999995</v>
      </c>
      <c r="AH29" s="145">
        <v>0.38722618000000003</v>
      </c>
      <c r="AI29" s="145">
        <v>0.59264340999999998</v>
      </c>
      <c r="AJ29" s="145">
        <v>0.53919238000000014</v>
      </c>
      <c r="AK29" s="145">
        <v>2.4205444599999999</v>
      </c>
      <c r="AL29" s="279">
        <v>0.31674868</v>
      </c>
      <c r="AM29" s="279">
        <v>0.52819559999999999</v>
      </c>
      <c r="AN29" s="279">
        <v>-0.14221023999999999</v>
      </c>
      <c r="AO29" s="279">
        <v>0.28189955000000005</v>
      </c>
      <c r="AP29" s="279">
        <v>0.11068321999999997</v>
      </c>
      <c r="AQ29" s="279">
        <v>0.2</v>
      </c>
      <c r="AR29" s="279">
        <v>0.252</v>
      </c>
      <c r="AS29" s="279">
        <v>-0.45</v>
      </c>
      <c r="AT29" s="279">
        <f>1183/1000</f>
        <v>1.1830000000000001</v>
      </c>
      <c r="AU29" s="276"/>
      <c r="AV29" s="279">
        <v>7.6465137600000004</v>
      </c>
      <c r="AW29" s="279"/>
      <c r="AX29" s="279">
        <v>7.8274573505568013</v>
      </c>
      <c r="AY29" s="279"/>
      <c r="AZ29" s="279">
        <v>2.8462028299999997</v>
      </c>
      <c r="BA29" s="279"/>
      <c r="BB29" s="279">
        <v>3.93960643</v>
      </c>
      <c r="BC29" s="279"/>
      <c r="BD29" s="279">
        <f t="shared" si="2"/>
        <v>0.98463359000000006</v>
      </c>
      <c r="BE29" s="279"/>
      <c r="BF29" s="279">
        <f t="shared" ref="BF29:BG36" si="19">AP29+AO29+AN29+AM29</f>
        <v>0.77856813000000002</v>
      </c>
      <c r="BG29" s="279">
        <f t="shared" si="19"/>
        <v>0.45037253000000005</v>
      </c>
      <c r="BH29" s="279">
        <f t="shared" ref="BH29:BI36" si="20">AR29+AQ29+AP29+AO29</f>
        <v>0.84458277000000015</v>
      </c>
      <c r="BI29" s="279">
        <f t="shared" si="20"/>
        <v>0.11268321999999997</v>
      </c>
      <c r="BJ29" s="279">
        <f t="shared" ref="BJ29:BJ38" si="21">SUM(AP29:AS29)</f>
        <v>0.11268322000000003</v>
      </c>
      <c r="BK29" s="279">
        <f t="shared" si="11"/>
        <v>1.1850000000000001</v>
      </c>
    </row>
    <row r="30" spans="2:63" s="91" customFormat="1" ht="20.25" customHeight="1" outlineLevel="1">
      <c r="B30" s="146" t="s">
        <v>292</v>
      </c>
      <c r="C30" s="90">
        <v>4.794344485823796</v>
      </c>
      <c r="D30" s="90">
        <v>6.7081950603028924</v>
      </c>
      <c r="E30" s="90">
        <v>5.7838991937839417</v>
      </c>
      <c r="F30" s="90">
        <v>6.6421104197715275</v>
      </c>
      <c r="G30" s="90">
        <v>3.0552769408136307</v>
      </c>
      <c r="H30" s="90">
        <v>4.7260561281684925</v>
      </c>
      <c r="I30" s="90">
        <v>9.1933441863448984</v>
      </c>
      <c r="J30" s="90"/>
      <c r="K30" s="138"/>
      <c r="L30" s="90">
        <f t="shared" si="12"/>
        <v>17.286438739910629</v>
      </c>
      <c r="M30" s="90"/>
      <c r="N30" s="90">
        <f t="shared" si="13"/>
        <v>16.974677255327023</v>
      </c>
      <c r="O30" s="138"/>
      <c r="P30" s="139"/>
      <c r="Q30" s="90">
        <f t="shared" si="14"/>
        <v>23.928549159682156</v>
      </c>
      <c r="R30" s="90"/>
      <c r="S30" s="90">
        <f t="shared" si="15"/>
        <v>23.61678767509855</v>
      </c>
      <c r="T30" s="141"/>
      <c r="U30" s="141"/>
      <c r="V30" s="90">
        <v>5.898452455823799</v>
      </c>
      <c r="W30" s="90">
        <v>7.9224995716181645</v>
      </c>
      <c r="X30" s="90">
        <v>6.5326625508286087</v>
      </c>
      <c r="Y30" s="90">
        <v>7.7865984621616313</v>
      </c>
      <c r="Z30" s="90">
        <v>8.117491909383407</v>
      </c>
      <c r="AA30" s="90">
        <v>9.255514458168502</v>
      </c>
      <c r="AB30" s="90">
        <v>12.787807502115211</v>
      </c>
      <c r="AC30" s="90">
        <v>18.697178459034181</v>
      </c>
      <c r="AD30" s="90">
        <v>5.7634263253824658</v>
      </c>
      <c r="AE30" s="90">
        <v>6.5830180255315192</v>
      </c>
      <c r="AF30" s="90">
        <v>6.4124239594846477</v>
      </c>
      <c r="AG30" s="90">
        <v>21.336803018492422</v>
      </c>
      <c r="AH30" s="90">
        <v>12.979014426297841</v>
      </c>
      <c r="AI30" s="90">
        <v>-4.4383672112280115E-2</v>
      </c>
      <c r="AJ30" s="90">
        <v>8.3692522447741347</v>
      </c>
      <c r="AK30" s="90">
        <v>14.522666008858572</v>
      </c>
      <c r="AL30" s="277">
        <v>6.5174826299999999</v>
      </c>
      <c r="AM30" s="277">
        <v>16.617251150162705</v>
      </c>
      <c r="AN30" s="277">
        <v>5.0706056492941318</v>
      </c>
      <c r="AO30" s="277">
        <v>7.7266123000000011</v>
      </c>
      <c r="AP30" s="277">
        <f>-89.2707181787/1000</f>
        <v>-8.9270718178699998E-2</v>
      </c>
      <c r="AQ30" s="277">
        <v>0.27106715999999997</v>
      </c>
      <c r="AR30" s="277">
        <v>-0.86936146999999997</v>
      </c>
      <c r="AS30" s="277">
        <v>-12.46917547</v>
      </c>
      <c r="AT30" s="277">
        <v>0</v>
      </c>
      <c r="AU30" s="276"/>
      <c r="AV30" s="277">
        <v>28.140213040432204</v>
      </c>
      <c r="AW30" s="277"/>
      <c r="AX30" s="277">
        <v>48.8579923287013</v>
      </c>
      <c r="AY30" s="277"/>
      <c r="AZ30" s="277">
        <v>40.095671328891058</v>
      </c>
      <c r="BA30" s="277"/>
      <c r="BB30" s="277">
        <v>35.826549007818265</v>
      </c>
      <c r="BC30" s="277"/>
      <c r="BD30" s="277">
        <f t="shared" si="2"/>
        <v>35.931951729456834</v>
      </c>
      <c r="BE30" s="277"/>
      <c r="BF30" s="277">
        <f t="shared" si="19"/>
        <v>29.325198381278138</v>
      </c>
      <c r="BG30" s="277">
        <f t="shared" si="19"/>
        <v>12.979014391115433</v>
      </c>
      <c r="BH30" s="277">
        <f t="shared" si="20"/>
        <v>7.0390472718213015</v>
      </c>
      <c r="BI30" s="277">
        <f t="shared" si="20"/>
        <v>-13.156740498178699</v>
      </c>
      <c r="BJ30" s="277">
        <f t="shared" si="21"/>
        <v>-13.156740498178699</v>
      </c>
      <c r="BK30" s="277">
        <f t="shared" si="11"/>
        <v>-13.06746978</v>
      </c>
    </row>
    <row r="31" spans="2:63" s="91" customFormat="1" ht="20.25" customHeight="1" outlineLevel="1">
      <c r="B31" s="146" t="s">
        <v>293</v>
      </c>
      <c r="C31" s="90">
        <v>0.29858070495330002</v>
      </c>
      <c r="D31" s="90">
        <v>0.36657360218950003</v>
      </c>
      <c r="E31" s="90">
        <v>0.76893125255759986</v>
      </c>
      <c r="F31" s="90">
        <v>-3.3069131101799661E-2</v>
      </c>
      <c r="G31" s="90">
        <v>0.21895483454339998</v>
      </c>
      <c r="H31" s="90">
        <v>0.20737473041839996</v>
      </c>
      <c r="I31" s="90">
        <v>-2.2465734936399983E-2</v>
      </c>
      <c r="J31" s="90"/>
      <c r="K31" s="138"/>
      <c r="L31" s="90">
        <f t="shared" si="12"/>
        <v>1.4340855597003999</v>
      </c>
      <c r="M31" s="90"/>
      <c r="N31" s="90">
        <f t="shared" si="13"/>
        <v>0.40386383002539999</v>
      </c>
      <c r="O31" s="138"/>
      <c r="P31" s="139"/>
      <c r="Q31" s="90">
        <f t="shared" si="14"/>
        <v>1.4010164285986002</v>
      </c>
      <c r="R31" s="90"/>
      <c r="S31" s="90">
        <f t="shared" si="15"/>
        <v>0.37079469892360034</v>
      </c>
      <c r="T31" s="141"/>
      <c r="U31" s="141"/>
      <c r="V31" s="90">
        <v>0.29858070495329997</v>
      </c>
      <c r="W31" s="90">
        <v>0.36657360218950003</v>
      </c>
      <c r="X31" s="90">
        <v>0.76893125255759986</v>
      </c>
      <c r="Y31" s="90">
        <v>-3.3069131101799661E-2</v>
      </c>
      <c r="Z31" s="90">
        <v>0.21895483454339998</v>
      </c>
      <c r="AA31" s="90">
        <v>0.20737473041839996</v>
      </c>
      <c r="AB31" s="90">
        <v>-2.2465734936399983E-2</v>
      </c>
      <c r="AC31" s="90">
        <v>-0.10278411182679999</v>
      </c>
      <c r="AD31" s="90">
        <v>0.1567381046878</v>
      </c>
      <c r="AE31" s="90">
        <v>0.25439772233589991</v>
      </c>
      <c r="AF31" s="90">
        <v>0.27907443475570004</v>
      </c>
      <c r="AG31" s="90">
        <v>-0.57608888258020008</v>
      </c>
      <c r="AH31" s="90">
        <v>-0.30166938041619995</v>
      </c>
      <c r="AI31" s="90">
        <v>-2.1378449757678002</v>
      </c>
      <c r="AJ31" s="90">
        <v>-0.16419735697830018</v>
      </c>
      <c r="AK31" s="90">
        <v>-0.17537038634759972</v>
      </c>
      <c r="AL31" s="277">
        <v>-0.11465030733260007</v>
      </c>
      <c r="AM31" s="277">
        <v>0.63644966204689957</v>
      </c>
      <c r="AN31" s="277">
        <v>5.4311594100300016E-2</v>
      </c>
      <c r="AO31" s="277">
        <v>0.78098012271569994</v>
      </c>
      <c r="AP31" s="277">
        <f>88/1000</f>
        <v>8.7999999999999995E-2</v>
      </c>
      <c r="AQ31" s="277">
        <v>0.73899999999999999</v>
      </c>
      <c r="AR31" s="277">
        <v>0.20810768858760006</v>
      </c>
      <c r="AS31" s="277">
        <v>-4.1369565932699012E-2</v>
      </c>
      <c r="AT31" s="277">
        <f>'4. Cash Flows'!AM24/1000</f>
        <v>-0.60199999999999998</v>
      </c>
      <c r="AU31" s="276"/>
      <c r="AV31" s="277">
        <v>1.4010164285986002</v>
      </c>
      <c r="AW31" s="277"/>
      <c r="AX31" s="277">
        <v>0.30107971819860002</v>
      </c>
      <c r="AY31" s="277"/>
      <c r="AZ31" s="277">
        <v>0.11412137919919985</v>
      </c>
      <c r="BA31" s="277"/>
      <c r="BB31" s="277">
        <v>-2.7790820995099002</v>
      </c>
      <c r="BC31" s="277"/>
      <c r="BD31" s="277">
        <f t="shared" si="2"/>
        <v>1.3570910715302995</v>
      </c>
      <c r="BE31" s="277"/>
      <c r="BF31" s="277">
        <f t="shared" si="19"/>
        <v>1.5597413788628995</v>
      </c>
      <c r="BG31" s="277">
        <f t="shared" si="19"/>
        <v>1.6622917168159999</v>
      </c>
      <c r="BH31" s="277">
        <f t="shared" si="20"/>
        <v>1.8160878113033001</v>
      </c>
      <c r="BI31" s="277">
        <f t="shared" si="20"/>
        <v>0.99373812265490102</v>
      </c>
      <c r="BJ31" s="277">
        <f t="shared" si="21"/>
        <v>0.99373812265490102</v>
      </c>
      <c r="BK31" s="277">
        <f t="shared" si="11"/>
        <v>0.30373812265490108</v>
      </c>
    </row>
    <row r="32" spans="2:63" s="91" customFormat="1" ht="20.25" customHeight="1" outlineLevel="1">
      <c r="B32" s="146" t="s">
        <v>294</v>
      </c>
      <c r="C32" s="90">
        <v>0</v>
      </c>
      <c r="D32" s="90">
        <v>0.72023781000000009</v>
      </c>
      <c r="E32" s="90">
        <v>0</v>
      </c>
      <c r="F32" s="90">
        <v>0</v>
      </c>
      <c r="G32" s="90">
        <v>0</v>
      </c>
      <c r="H32" s="90">
        <v>0</v>
      </c>
      <c r="I32" s="90">
        <v>0</v>
      </c>
      <c r="J32" s="90"/>
      <c r="K32" s="138"/>
      <c r="L32" s="90">
        <f t="shared" si="12"/>
        <v>0.72023781000000009</v>
      </c>
      <c r="M32" s="90"/>
      <c r="N32" s="90">
        <f t="shared" si="13"/>
        <v>0</v>
      </c>
      <c r="O32" s="138"/>
      <c r="P32" s="139"/>
      <c r="Q32" s="90">
        <f t="shared" si="14"/>
        <v>0.72023781000000009</v>
      </c>
      <c r="R32" s="90"/>
      <c r="S32" s="90">
        <f t="shared" si="15"/>
        <v>0</v>
      </c>
      <c r="T32" s="141"/>
      <c r="U32" s="141"/>
      <c r="V32" s="90">
        <v>0</v>
      </c>
      <c r="W32" s="90">
        <v>0</v>
      </c>
      <c r="X32" s="90">
        <v>0</v>
      </c>
      <c r="Y32" s="90">
        <v>0</v>
      </c>
      <c r="Z32" s="90">
        <v>0</v>
      </c>
      <c r="AA32" s="90">
        <v>0</v>
      </c>
      <c r="AB32" s="90">
        <v>0</v>
      </c>
      <c r="AC32" s="90">
        <v>0</v>
      </c>
      <c r="AD32" s="90">
        <v>-35.315531019999995</v>
      </c>
      <c r="AE32" s="90">
        <v>0</v>
      </c>
      <c r="AF32" s="90">
        <v>-9.2797155099999991</v>
      </c>
      <c r="AG32" s="90">
        <v>0</v>
      </c>
      <c r="AH32" s="90">
        <v>0</v>
      </c>
      <c r="AI32" s="90">
        <v>1.2958629444533001</v>
      </c>
      <c r="AJ32" s="90">
        <v>0</v>
      </c>
      <c r="AK32" s="90">
        <v>0</v>
      </c>
      <c r="AL32" s="277">
        <v>0</v>
      </c>
      <c r="AM32" s="277">
        <v>0</v>
      </c>
      <c r="AN32" s="277">
        <v>0</v>
      </c>
      <c r="AO32" s="277">
        <v>0</v>
      </c>
      <c r="AP32" s="277">
        <v>0</v>
      </c>
      <c r="AQ32" s="277">
        <v>-6.4729999999999999</v>
      </c>
      <c r="AR32" s="277">
        <v>-0.75</v>
      </c>
      <c r="AS32" s="277">
        <v>0</v>
      </c>
      <c r="AT32" s="277">
        <v>0</v>
      </c>
      <c r="AU32" s="276"/>
      <c r="AV32" s="277">
        <v>0</v>
      </c>
      <c r="AW32" s="277"/>
      <c r="AX32" s="277">
        <v>0</v>
      </c>
      <c r="AY32" s="277"/>
      <c r="AZ32" s="277">
        <v>-44.595246529999997</v>
      </c>
      <c r="BA32" s="277"/>
      <c r="BB32" s="277">
        <v>1.2958629444533001</v>
      </c>
      <c r="BC32" s="277"/>
      <c r="BD32" s="277">
        <f t="shared" si="2"/>
        <v>0</v>
      </c>
      <c r="BE32" s="277"/>
      <c r="BF32" s="277">
        <f t="shared" si="19"/>
        <v>0</v>
      </c>
      <c r="BG32" s="277">
        <f t="shared" si="19"/>
        <v>-6.4729999999999999</v>
      </c>
      <c r="BH32" s="277">
        <f t="shared" si="20"/>
        <v>-7.2229999999999999</v>
      </c>
      <c r="BI32" s="277">
        <f t="shared" si="20"/>
        <v>-7.2229999999999999</v>
      </c>
      <c r="BJ32" s="277">
        <f t="shared" si="21"/>
        <v>-7.2229999999999999</v>
      </c>
      <c r="BK32" s="277">
        <f t="shared" si="11"/>
        <v>-7.2229999999999999</v>
      </c>
    </row>
    <row r="33" spans="2:63" s="91" customFormat="1" ht="20.25" customHeight="1" outlineLevel="1">
      <c r="B33" s="146" t="s">
        <v>380</v>
      </c>
      <c r="C33" s="90"/>
      <c r="D33" s="90"/>
      <c r="E33" s="90"/>
      <c r="F33" s="90"/>
      <c r="G33" s="90"/>
      <c r="H33" s="90"/>
      <c r="I33" s="90"/>
      <c r="J33" s="90"/>
      <c r="K33" s="138"/>
      <c r="L33" s="90"/>
      <c r="M33" s="90"/>
      <c r="N33" s="90"/>
      <c r="O33" s="138"/>
      <c r="P33" s="139"/>
      <c r="Q33" s="90"/>
      <c r="R33" s="90"/>
      <c r="S33" s="90"/>
      <c r="T33" s="141"/>
      <c r="U33" s="141"/>
      <c r="V33" s="90"/>
      <c r="W33" s="90"/>
      <c r="X33" s="90"/>
      <c r="Y33" s="90"/>
      <c r="Z33" s="90"/>
      <c r="AA33" s="90"/>
      <c r="AB33" s="90"/>
      <c r="AC33" s="90"/>
      <c r="AD33" s="90"/>
      <c r="AE33" s="90"/>
      <c r="AF33" s="90"/>
      <c r="AG33" s="90"/>
      <c r="AH33" s="90"/>
      <c r="AI33" s="90"/>
      <c r="AJ33" s="90"/>
      <c r="AK33" s="90"/>
      <c r="AL33" s="277"/>
      <c r="AM33" s="277"/>
      <c r="AN33" s="277"/>
      <c r="AO33" s="277"/>
      <c r="AP33" s="277">
        <v>0</v>
      </c>
      <c r="AQ33" s="277">
        <v>0</v>
      </c>
      <c r="AR33" s="277">
        <v>0</v>
      </c>
      <c r="AS33" s="277">
        <v>2.4783739999999996</v>
      </c>
      <c r="AT33" s="277">
        <v>0</v>
      </c>
      <c r="AU33" s="276"/>
      <c r="AV33" s="277"/>
      <c r="AW33" s="277"/>
      <c r="AX33" s="277"/>
      <c r="AY33" s="277"/>
      <c r="AZ33" s="277"/>
      <c r="BA33" s="277"/>
      <c r="BB33" s="277"/>
      <c r="BC33" s="277"/>
      <c r="BD33" s="277">
        <f t="shared" si="2"/>
        <v>0</v>
      </c>
      <c r="BE33" s="277"/>
      <c r="BF33" s="277"/>
      <c r="BG33" s="277"/>
      <c r="BH33" s="277"/>
      <c r="BI33" s="277"/>
      <c r="BJ33" s="277">
        <f t="shared" si="21"/>
        <v>2.4783739999999996</v>
      </c>
      <c r="BK33" s="277">
        <f t="shared" si="11"/>
        <v>2.4783739999999996</v>
      </c>
    </row>
    <row r="34" spans="2:63" s="91" customFormat="1" ht="20.25" customHeight="1" outlineLevel="1">
      <c r="B34" s="146" t="s">
        <v>381</v>
      </c>
      <c r="C34" s="90"/>
      <c r="D34" s="90"/>
      <c r="E34" s="90"/>
      <c r="F34" s="90"/>
      <c r="G34" s="90"/>
      <c r="H34" s="90"/>
      <c r="I34" s="90"/>
      <c r="J34" s="90"/>
      <c r="K34" s="138"/>
      <c r="L34" s="90"/>
      <c r="M34" s="90"/>
      <c r="N34" s="90"/>
      <c r="O34" s="138"/>
      <c r="P34" s="139"/>
      <c r="Q34" s="90"/>
      <c r="R34" s="90"/>
      <c r="S34" s="90"/>
      <c r="T34" s="141"/>
      <c r="U34" s="141"/>
      <c r="V34" s="90"/>
      <c r="W34" s="90"/>
      <c r="X34" s="90"/>
      <c r="Y34" s="90"/>
      <c r="Z34" s="90"/>
      <c r="AA34" s="90"/>
      <c r="AB34" s="90"/>
      <c r="AC34" s="90"/>
      <c r="AD34" s="90"/>
      <c r="AE34" s="90"/>
      <c r="AF34" s="90"/>
      <c r="AG34" s="90"/>
      <c r="AH34" s="90"/>
      <c r="AI34" s="90"/>
      <c r="AJ34" s="90"/>
      <c r="AK34" s="90"/>
      <c r="AL34" s="277"/>
      <c r="AM34" s="277"/>
      <c r="AN34" s="277"/>
      <c r="AO34" s="277"/>
      <c r="AP34" s="277">
        <v>0</v>
      </c>
      <c r="AQ34" s="277">
        <v>0</v>
      </c>
      <c r="AR34" s="277">
        <v>0</v>
      </c>
      <c r="AS34" s="277">
        <v>1.85</v>
      </c>
      <c r="AT34" s="277">
        <v>0</v>
      </c>
      <c r="AU34" s="276"/>
      <c r="AV34" s="277"/>
      <c r="AW34" s="277"/>
      <c r="AX34" s="277"/>
      <c r="AY34" s="277"/>
      <c r="AZ34" s="277"/>
      <c r="BA34" s="277"/>
      <c r="BB34" s="277"/>
      <c r="BC34" s="277"/>
      <c r="BD34" s="277">
        <f t="shared" si="2"/>
        <v>0</v>
      </c>
      <c r="BE34" s="277"/>
      <c r="BF34" s="277"/>
      <c r="BG34" s="277"/>
      <c r="BH34" s="277"/>
      <c r="BI34" s="277"/>
      <c r="BJ34" s="277">
        <f t="shared" si="21"/>
        <v>1.85</v>
      </c>
      <c r="BK34" s="277">
        <f t="shared" si="11"/>
        <v>1.85</v>
      </c>
    </row>
    <row r="35" spans="2:63" s="91" customFormat="1" ht="20.25" customHeight="1" outlineLevel="1">
      <c r="B35" s="146" t="s">
        <v>295</v>
      </c>
      <c r="C35" s="90">
        <v>0</v>
      </c>
      <c r="D35" s="90">
        <v>0</v>
      </c>
      <c r="E35" s="90">
        <v>1.06739841</v>
      </c>
      <c r="F35" s="90">
        <v>0</v>
      </c>
      <c r="G35" s="90">
        <v>0</v>
      </c>
      <c r="H35" s="90">
        <v>1.4039431</v>
      </c>
      <c r="I35" s="90">
        <v>0</v>
      </c>
      <c r="J35" s="90"/>
      <c r="K35" s="138"/>
      <c r="L35" s="90">
        <f t="shared" si="12"/>
        <v>1.06739841</v>
      </c>
      <c r="M35" s="90"/>
      <c r="N35" s="90">
        <f t="shared" si="13"/>
        <v>1.4039431</v>
      </c>
      <c r="O35" s="138"/>
      <c r="P35" s="139"/>
      <c r="Q35" s="90">
        <f t="shared" si="14"/>
        <v>1.06739841</v>
      </c>
      <c r="R35" s="90"/>
      <c r="S35" s="90">
        <f t="shared" si="15"/>
        <v>1.4039431</v>
      </c>
      <c r="T35" s="141"/>
      <c r="U35" s="141"/>
      <c r="V35" s="90">
        <v>0</v>
      </c>
      <c r="W35" s="90">
        <v>0</v>
      </c>
      <c r="X35" s="90">
        <v>1.06739841</v>
      </c>
      <c r="Y35" s="90">
        <v>0</v>
      </c>
      <c r="Z35" s="90">
        <v>0</v>
      </c>
      <c r="AA35" s="90">
        <v>1.4039431</v>
      </c>
      <c r="AB35" s="90">
        <v>0</v>
      </c>
      <c r="AC35" s="90">
        <v>0</v>
      </c>
      <c r="AD35" s="90">
        <v>0</v>
      </c>
      <c r="AE35" s="90">
        <v>0</v>
      </c>
      <c r="AF35" s="90">
        <v>0</v>
      </c>
      <c r="AG35" s="90">
        <v>9.5890784499999988</v>
      </c>
      <c r="AH35" s="90">
        <v>0</v>
      </c>
      <c r="AI35" s="90">
        <v>0</v>
      </c>
      <c r="AJ35" s="90">
        <v>-28.07013912</v>
      </c>
      <c r="AK35" s="90">
        <v>11.381396390000001</v>
      </c>
      <c r="AL35" s="277">
        <v>0.88415082547050006</v>
      </c>
      <c r="AM35" s="277">
        <v>8.1166064401369002</v>
      </c>
      <c r="AN35" s="277">
        <v>-4.6962444300000001</v>
      </c>
      <c r="AO35" s="277">
        <v>0.21786264999999999</v>
      </c>
      <c r="AP35" s="277">
        <v>-8.7729999999999997</v>
      </c>
      <c r="AQ35" s="277">
        <v>-6.7850000000000001</v>
      </c>
      <c r="AR35" s="277">
        <v>-0.57101640999999992</v>
      </c>
      <c r="AS35" s="277">
        <v>0</v>
      </c>
      <c r="AT35" s="277">
        <v>0</v>
      </c>
      <c r="AU35" s="276"/>
      <c r="AV35" s="277">
        <v>1.06739841</v>
      </c>
      <c r="AW35" s="277"/>
      <c r="AX35" s="277">
        <v>1.4039431</v>
      </c>
      <c r="AY35" s="277"/>
      <c r="AZ35" s="277">
        <v>9.5890784499999988</v>
      </c>
      <c r="BA35" s="277"/>
      <c r="BB35" s="277">
        <v>-16.688742730000001</v>
      </c>
      <c r="BC35" s="277"/>
      <c r="BD35" s="277">
        <f t="shared" si="2"/>
        <v>4.5223754856074008</v>
      </c>
      <c r="BE35" s="277"/>
      <c r="BF35" s="277">
        <f t="shared" si="19"/>
        <v>-5.1347753398630989</v>
      </c>
      <c r="BG35" s="277">
        <f t="shared" si="19"/>
        <v>-20.036381779999999</v>
      </c>
      <c r="BH35" s="277">
        <f t="shared" si="20"/>
        <v>-15.911153759999998</v>
      </c>
      <c r="BI35" s="277">
        <f t="shared" si="20"/>
        <v>-16.129016409999998</v>
      </c>
      <c r="BJ35" s="277">
        <f t="shared" si="21"/>
        <v>-16.129016409999998</v>
      </c>
      <c r="BK35" s="277">
        <f t="shared" si="11"/>
        <v>-7.3560164100000005</v>
      </c>
    </row>
    <row r="36" spans="2:63" s="91" customFormat="1" ht="20.25" customHeight="1" outlineLevel="1">
      <c r="B36" s="146" t="s">
        <v>109</v>
      </c>
      <c r="C36" s="90">
        <v>0</v>
      </c>
      <c r="D36" s="90">
        <v>0</v>
      </c>
      <c r="E36" s="90">
        <v>0</v>
      </c>
      <c r="F36" s="90">
        <v>48.127063679999999</v>
      </c>
      <c r="G36" s="90">
        <v>0</v>
      </c>
      <c r="H36" s="90">
        <v>0</v>
      </c>
      <c r="I36" s="90">
        <v>99.681855999999996</v>
      </c>
      <c r="J36" s="90"/>
      <c r="K36" s="138"/>
      <c r="L36" s="90">
        <f t="shared" si="12"/>
        <v>0</v>
      </c>
      <c r="M36" s="90"/>
      <c r="N36" s="90">
        <f t="shared" si="13"/>
        <v>99.681855999999996</v>
      </c>
      <c r="O36" s="138"/>
      <c r="P36" s="139"/>
      <c r="Q36" s="90">
        <f t="shared" si="14"/>
        <v>48.127063679999999</v>
      </c>
      <c r="R36" s="90"/>
      <c r="S36" s="90">
        <f t="shared" si="15"/>
        <v>147.80891968</v>
      </c>
      <c r="T36" s="141"/>
      <c r="U36" s="141"/>
      <c r="V36" s="90">
        <v>0</v>
      </c>
      <c r="W36" s="90">
        <v>0</v>
      </c>
      <c r="X36" s="90">
        <v>0</v>
      </c>
      <c r="Y36" s="90">
        <v>48.127063679999999</v>
      </c>
      <c r="Z36" s="90">
        <v>0</v>
      </c>
      <c r="AA36" s="90">
        <v>0</v>
      </c>
      <c r="AB36" s="90">
        <v>97.157855999999995</v>
      </c>
      <c r="AC36" s="90">
        <v>252.39957146</v>
      </c>
      <c r="AD36" s="90">
        <v>0</v>
      </c>
      <c r="AE36" s="90">
        <v>0</v>
      </c>
      <c r="AF36" s="90">
        <v>0</v>
      </c>
      <c r="AG36" s="90">
        <v>0</v>
      </c>
      <c r="AH36" s="90">
        <v>0</v>
      </c>
      <c r="AI36" s="90">
        <v>0</v>
      </c>
      <c r="AJ36" s="90">
        <v>0</v>
      </c>
      <c r="AK36" s="90">
        <v>0</v>
      </c>
      <c r="AL36" s="277">
        <v>0</v>
      </c>
      <c r="AM36" s="277">
        <v>0</v>
      </c>
      <c r="AN36" s="277">
        <v>29.565096069999999</v>
      </c>
      <c r="AO36" s="277">
        <v>141.61717999999999</v>
      </c>
      <c r="AP36" s="277">
        <v>0</v>
      </c>
      <c r="AQ36" s="277">
        <v>0</v>
      </c>
      <c r="AR36" s="277">
        <v>0</v>
      </c>
      <c r="AS36" s="277">
        <v>0</v>
      </c>
      <c r="AT36" s="277">
        <v>0</v>
      </c>
      <c r="AU36" s="276"/>
      <c r="AV36" s="277">
        <v>48.127063679999999</v>
      </c>
      <c r="AW36" s="277"/>
      <c r="AX36" s="277">
        <v>349.55742745999999</v>
      </c>
      <c r="AY36" s="277"/>
      <c r="AZ36" s="277">
        <v>0</v>
      </c>
      <c r="BA36" s="277"/>
      <c r="BB36" s="277">
        <v>0</v>
      </c>
      <c r="BC36" s="277"/>
      <c r="BD36" s="277">
        <f t="shared" si="2"/>
        <v>171.18227607</v>
      </c>
      <c r="BE36" s="277"/>
      <c r="BF36" s="277">
        <f t="shared" si="19"/>
        <v>171.18227607</v>
      </c>
      <c r="BG36" s="277">
        <f t="shared" si="19"/>
        <v>171.18227607</v>
      </c>
      <c r="BH36" s="277">
        <f t="shared" si="20"/>
        <v>141.61717999999999</v>
      </c>
      <c r="BI36" s="277">
        <f t="shared" si="20"/>
        <v>0</v>
      </c>
      <c r="BJ36" s="277">
        <f t="shared" si="21"/>
        <v>0</v>
      </c>
      <c r="BK36" s="277">
        <f t="shared" si="11"/>
        <v>0</v>
      </c>
    </row>
    <row r="37" spans="2:63" s="91" customFormat="1" ht="20.25" customHeight="1">
      <c r="B37" s="147" t="s">
        <v>296</v>
      </c>
      <c r="C37" s="143">
        <f t="shared" ref="C37:I37" si="22">+C26+C27+C28</f>
        <v>58.79037163333571</v>
      </c>
      <c r="D37" s="143">
        <f t="shared" si="22"/>
        <v>60.359354037701394</v>
      </c>
      <c r="E37" s="143">
        <f t="shared" si="22"/>
        <v>52.167281493602879</v>
      </c>
      <c r="F37" s="143">
        <f t="shared" si="22"/>
        <v>54.146829588892409</v>
      </c>
      <c r="G37" s="143">
        <f t="shared" si="22"/>
        <v>49.481041529913064</v>
      </c>
      <c r="H37" s="143">
        <f t="shared" si="22"/>
        <v>48.622432462597516</v>
      </c>
      <c r="I37" s="143">
        <f t="shared" si="22"/>
        <v>40.542076721289675</v>
      </c>
      <c r="J37" s="137"/>
      <c r="K37" s="138"/>
      <c r="L37" s="143">
        <f t="shared" si="12"/>
        <v>171.31700716463999</v>
      </c>
      <c r="M37" s="143"/>
      <c r="N37" s="143">
        <f t="shared" si="13"/>
        <v>138.64555071380025</v>
      </c>
      <c r="O37" s="138"/>
      <c r="P37" s="139"/>
      <c r="Q37" s="143">
        <f t="shared" si="14"/>
        <v>225.46383675353241</v>
      </c>
      <c r="R37" s="143"/>
      <c r="S37" s="143">
        <f t="shared" si="15"/>
        <v>192.79238030269266</v>
      </c>
      <c r="T37" s="139"/>
      <c r="U37" s="139"/>
      <c r="V37" s="143">
        <v>58.790371813170204</v>
      </c>
      <c r="W37" s="143">
        <v>54.603097039016639</v>
      </c>
      <c r="X37" s="143">
        <v>52.167281460647565</v>
      </c>
      <c r="Y37" s="143">
        <v>51.539499461282482</v>
      </c>
      <c r="Z37" s="143">
        <v>51.684679038482848</v>
      </c>
      <c r="AA37" s="143">
        <v>44.14196189259755</v>
      </c>
      <c r="AB37" s="143">
        <v>42.542076577060058</v>
      </c>
      <c r="AC37" s="143">
        <v>36.794263991261914</v>
      </c>
      <c r="AD37" s="143">
        <v>26.873034655299644</v>
      </c>
      <c r="AE37" s="143">
        <v>26.611142912043221</v>
      </c>
      <c r="AF37" s="143">
        <v>34.872105509928701</v>
      </c>
      <c r="AG37" s="143">
        <v>22.777994485868476</v>
      </c>
      <c r="AH37" s="143">
        <v>36.450804621982911</v>
      </c>
      <c r="AI37" s="143">
        <v>44.633053017984714</v>
      </c>
      <c r="AJ37" s="143">
        <v>29.752416021940377</v>
      </c>
      <c r="AK37" s="143">
        <v>24.329221463904652</v>
      </c>
      <c r="AL37" s="278">
        <f t="shared" ref="AL37:AS37" si="23">SUM(AL26:AL28)</f>
        <v>11.082285382665585</v>
      </c>
      <c r="AM37" s="278">
        <f t="shared" si="23"/>
        <v>8.2597432986869173</v>
      </c>
      <c r="AN37" s="278">
        <f t="shared" si="23"/>
        <v>4.0357058689703109</v>
      </c>
      <c r="AO37" s="278">
        <f t="shared" si="23"/>
        <v>14.790059914365315</v>
      </c>
      <c r="AP37" s="278">
        <f t="shared" si="23"/>
        <v>9.3036379641678977</v>
      </c>
      <c r="AQ37" s="278">
        <f t="shared" si="23"/>
        <v>19.591067160000001</v>
      </c>
      <c r="AR37" s="278">
        <f t="shared" si="23"/>
        <v>16.068729808587598</v>
      </c>
      <c r="AS37" s="278">
        <f t="shared" si="23"/>
        <v>8.590594216987169</v>
      </c>
      <c r="AT37" s="278">
        <f t="shared" ref="AT37" si="24">SUM(AT26:AT28)</f>
        <v>12.729000000000001</v>
      </c>
      <c r="AU37" s="276"/>
      <c r="AV37" s="278">
        <v>217.10024977411689</v>
      </c>
      <c r="AW37" s="278"/>
      <c r="AX37" s="278">
        <f t="shared" ref="AX37:BJ37" si="25">SUM(AX26:AX28)</f>
        <v>175.16298149940226</v>
      </c>
      <c r="AY37" s="278">
        <f t="shared" si="25"/>
        <v>0</v>
      </c>
      <c r="AZ37" s="278">
        <f t="shared" si="25"/>
        <v>111.13427756314007</v>
      </c>
      <c r="BA37" s="278">
        <f t="shared" si="25"/>
        <v>0</v>
      </c>
      <c r="BB37" s="278">
        <f t="shared" si="25"/>
        <v>135.16549512581267</v>
      </c>
      <c r="BC37" s="278">
        <f t="shared" si="25"/>
        <v>0</v>
      </c>
      <c r="BD37" s="278">
        <f t="shared" si="25"/>
        <v>38.167794464688114</v>
      </c>
      <c r="BE37" s="278">
        <f t="shared" si="25"/>
        <v>0</v>
      </c>
      <c r="BF37" s="278">
        <f t="shared" si="25"/>
        <v>36.300325438011612</v>
      </c>
      <c r="BG37" s="278">
        <f t="shared" si="25"/>
        <v>47.72047090750354</v>
      </c>
      <c r="BH37" s="278">
        <f t="shared" si="25"/>
        <v>59.753494847120791</v>
      </c>
      <c r="BI37" s="278">
        <f t="shared" si="25"/>
        <v>49.225655149742664</v>
      </c>
      <c r="BJ37" s="278">
        <f t="shared" si="25"/>
        <v>53.584029149742683</v>
      </c>
      <c r="BK37" s="278">
        <f t="shared" ref="BK37" si="26">SUM(BK26:BK28)</f>
        <v>56.979391185574769</v>
      </c>
    </row>
    <row r="38" spans="2:63" s="91" customFormat="1" ht="20.25" customHeight="1">
      <c r="B38" s="85" t="s">
        <v>297</v>
      </c>
      <c r="C38" s="90">
        <v>1.0573009900000003</v>
      </c>
      <c r="D38" s="90">
        <v>0.81916550999999982</v>
      </c>
      <c r="E38" s="90">
        <v>0.2200685</v>
      </c>
      <c r="F38" s="90">
        <v>2.0245031</v>
      </c>
      <c r="G38" s="90">
        <v>1.0082270800000002</v>
      </c>
      <c r="H38" s="90">
        <v>2.0300903199999998</v>
      </c>
      <c r="I38" s="90">
        <v>1.15459519</v>
      </c>
      <c r="J38" s="90"/>
      <c r="K38" s="138"/>
      <c r="L38" s="90">
        <f t="shared" si="12"/>
        <v>2.0965350000000003</v>
      </c>
      <c r="M38" s="90"/>
      <c r="N38" s="90">
        <f t="shared" si="13"/>
        <v>4.1929125899999997</v>
      </c>
      <c r="O38" s="138"/>
      <c r="P38" s="139"/>
      <c r="Q38" s="90">
        <f t="shared" si="14"/>
        <v>4.1210380999999998</v>
      </c>
      <c r="R38" s="90"/>
      <c r="S38" s="90">
        <f t="shared" si="15"/>
        <v>6.2174156900000002</v>
      </c>
      <c r="T38" s="141"/>
      <c r="U38" s="141"/>
      <c r="V38" s="90">
        <v>1.0573009900000003</v>
      </c>
      <c r="W38" s="90">
        <v>1.5394033199999999</v>
      </c>
      <c r="X38" s="90">
        <v>0.2200685</v>
      </c>
      <c r="Y38" s="90">
        <v>2.0245031</v>
      </c>
      <c r="Z38" s="90">
        <v>1.0082270800000002</v>
      </c>
      <c r="AA38" s="90">
        <v>2.0300903199999998</v>
      </c>
      <c r="AB38" s="90">
        <v>1.15459519</v>
      </c>
      <c r="AC38" s="90">
        <v>1.5102393999999999</v>
      </c>
      <c r="AD38" s="90">
        <v>4.3741576799999997</v>
      </c>
      <c r="AE38" s="90">
        <v>4.7994928700000008</v>
      </c>
      <c r="AF38" s="90">
        <v>2.5638226414713539</v>
      </c>
      <c r="AG38" s="90">
        <v>4.882060322000001</v>
      </c>
      <c r="AH38" s="90">
        <v>4.6481144800000003</v>
      </c>
      <c r="AI38" s="90">
        <v>1.3500596000000002</v>
      </c>
      <c r="AJ38" s="90">
        <v>1.9283296400000001</v>
      </c>
      <c r="AK38" s="90">
        <v>7.9454883700000005</v>
      </c>
      <c r="AL38" s="277">
        <v>3.7042243199999998</v>
      </c>
      <c r="AM38" s="277">
        <v>8.622475080000001</v>
      </c>
      <c r="AN38" s="277">
        <v>4.1389621599999993</v>
      </c>
      <c r="AO38" s="277">
        <v>2.1202321299999993</v>
      </c>
      <c r="AP38" s="277">
        <v>5.2</v>
      </c>
      <c r="AQ38" s="277">
        <v>1.4</v>
      </c>
      <c r="AR38" s="277">
        <v>-0.158</v>
      </c>
      <c r="AS38" s="277">
        <v>0.441</v>
      </c>
      <c r="AT38" s="277">
        <f>133/1000</f>
        <v>0.13300000000000001</v>
      </c>
      <c r="AU38" s="276"/>
      <c r="AV38" s="277">
        <v>4.8412759100000002</v>
      </c>
      <c r="AW38" s="277"/>
      <c r="AX38" s="277">
        <v>5.7031519899999994</v>
      </c>
      <c r="AY38" s="277"/>
      <c r="AZ38" s="277">
        <v>16.619533513471357</v>
      </c>
      <c r="BA38" s="277"/>
      <c r="BB38" s="277">
        <v>15.871992090000001</v>
      </c>
      <c r="BC38" s="277"/>
      <c r="BD38" s="277">
        <f t="shared" si="2"/>
        <v>18.585893689999999</v>
      </c>
      <c r="BE38" s="277"/>
      <c r="BF38" s="277">
        <f t="shared" ref="BF38:BG38" si="27">AP38+AO38+AN38+AM38</f>
        <v>20.08166937</v>
      </c>
      <c r="BG38" s="277">
        <f t="shared" si="27"/>
        <v>12.859194289999998</v>
      </c>
      <c r="BH38" s="277">
        <f t="shared" ref="BH38:BI38" si="28">AR38+AQ38+AP38+AO38</f>
        <v>8.5622321299999999</v>
      </c>
      <c r="BI38" s="277">
        <f t="shared" si="28"/>
        <v>6.883</v>
      </c>
      <c r="BJ38" s="277">
        <f t="shared" si="21"/>
        <v>6.8829999999999991</v>
      </c>
      <c r="BK38" s="277">
        <f t="shared" si="11"/>
        <v>1.8159999999999998</v>
      </c>
    </row>
    <row r="39" spans="2:63" s="91" customFormat="1" ht="20.25" customHeight="1">
      <c r="B39" s="85" t="s">
        <v>298</v>
      </c>
      <c r="C39" s="90">
        <v>9.7181847054214057</v>
      </c>
      <c r="D39" s="90">
        <v>8.9043428699999989</v>
      </c>
      <c r="E39" s="90">
        <v>16.505921867044666</v>
      </c>
      <c r="F39" s="90">
        <v>19.106506</v>
      </c>
      <c r="G39" s="90">
        <v>23.660852638569768</v>
      </c>
      <c r="H39" s="90">
        <v>18.708014581627019</v>
      </c>
      <c r="I39" s="90">
        <v>16.84800385577033</v>
      </c>
      <c r="J39" s="90"/>
      <c r="K39" s="138"/>
      <c r="L39" s="90">
        <f t="shared" si="12"/>
        <v>35.128449442466071</v>
      </c>
      <c r="M39" s="90"/>
      <c r="N39" s="90">
        <f t="shared" si="13"/>
        <v>59.21687107596712</v>
      </c>
      <c r="O39" s="138"/>
      <c r="P39" s="139"/>
      <c r="Q39" s="90">
        <f t="shared" si="14"/>
        <v>54.234955442466074</v>
      </c>
      <c r="R39" s="90"/>
      <c r="S39" s="90">
        <f t="shared" si="15"/>
        <v>78.323377075967116</v>
      </c>
      <c r="T39" s="141"/>
      <c r="U39" s="141"/>
      <c r="V39" s="90">
        <v>9.7181847054214057</v>
      </c>
      <c r="W39" s="90">
        <v>8.9043428699999989</v>
      </c>
      <c r="X39" s="90">
        <v>16.505921867044666</v>
      </c>
      <c r="Y39" s="90">
        <v>19.106506</v>
      </c>
      <c r="Z39" s="90">
        <v>23.660852638569768</v>
      </c>
      <c r="AA39" s="90">
        <v>18.708014581627019</v>
      </c>
      <c r="AB39" s="90">
        <v>16.84800385577033</v>
      </c>
      <c r="AC39" s="90">
        <v>14.718655356051629</v>
      </c>
      <c r="AD39" s="90">
        <v>13.139570714679241</v>
      </c>
      <c r="AE39" s="90">
        <v>11.721314837343202</v>
      </c>
      <c r="AF39" s="90">
        <v>11.258214103460665</v>
      </c>
      <c r="AG39" s="90">
        <v>9.4971252924263414</v>
      </c>
      <c r="AH39" s="90">
        <v>5.3667213871462902</v>
      </c>
      <c r="AI39" s="90">
        <v>4.9281899999999998</v>
      </c>
      <c r="AJ39" s="90">
        <v>4.6954944325092001</v>
      </c>
      <c r="AK39" s="90">
        <v>7.2555360000000002</v>
      </c>
      <c r="AL39" s="277">
        <f t="shared" ref="AL39:AP39" si="29">AL40</f>
        <v>0</v>
      </c>
      <c r="AM39" s="277">
        <f t="shared" si="29"/>
        <v>0</v>
      </c>
      <c r="AN39" s="277">
        <f t="shared" si="29"/>
        <v>0</v>
      </c>
      <c r="AO39" s="277">
        <f t="shared" si="29"/>
        <v>0</v>
      </c>
      <c r="AP39" s="277">
        <f t="shared" si="29"/>
        <v>0</v>
      </c>
      <c r="AQ39" s="277">
        <f>AQ40</f>
        <v>0</v>
      </c>
      <c r="AR39" s="277">
        <f>AR40</f>
        <v>0</v>
      </c>
      <c r="AS39" s="277">
        <f>AS40</f>
        <v>0</v>
      </c>
      <c r="AT39" s="277">
        <f>AT40</f>
        <v>0</v>
      </c>
      <c r="AU39" s="276"/>
      <c r="AV39" s="277">
        <v>54.234955442466074</v>
      </c>
      <c r="AW39" s="277"/>
      <c r="AX39" s="277">
        <v>73.935526432018747</v>
      </c>
      <c r="AY39" s="277"/>
      <c r="AZ39" s="277">
        <v>45.616224947909451</v>
      </c>
      <c r="BA39" s="277"/>
      <c r="BB39" s="277">
        <v>22.245941819655489</v>
      </c>
      <c r="BC39" s="277"/>
      <c r="BD39" s="277">
        <f t="shared" si="2"/>
        <v>0</v>
      </c>
      <c r="BE39" s="277"/>
      <c r="BF39" s="277">
        <f>SUM(BF40:BF42)</f>
        <v>0</v>
      </c>
      <c r="BG39" s="277">
        <f>SUM(BG40:BG42)</f>
        <v>0</v>
      </c>
      <c r="BH39" s="277">
        <f>SUM(BH40:BH42)</f>
        <v>0</v>
      </c>
      <c r="BI39" s="277">
        <f>SUM(BI40:BI42)</f>
        <v>0</v>
      </c>
      <c r="BJ39" s="277">
        <f t="shared" ref="BJ39:BJ40" si="30">SUM(AR39:AU39)</f>
        <v>0</v>
      </c>
      <c r="BK39" s="277">
        <f>SUM(BK40:BK42)</f>
        <v>0</v>
      </c>
    </row>
    <row r="40" spans="2:63" s="91" customFormat="1" ht="20.25" customHeight="1" outlineLevel="1">
      <c r="B40" s="144" t="s">
        <v>299</v>
      </c>
      <c r="C40" s="145">
        <v>9.7181847054214057</v>
      </c>
      <c r="D40" s="145">
        <v>8.9043428699999989</v>
      </c>
      <c r="E40" s="145">
        <v>15.048272162660821</v>
      </c>
      <c r="F40" s="145">
        <v>17.384346465105761</v>
      </c>
      <c r="G40" s="145">
        <v>21.9414809749209</v>
      </c>
      <c r="H40" s="145">
        <v>17.561893823297023</v>
      </c>
      <c r="I40" s="145">
        <v>15.694019543363577</v>
      </c>
      <c r="J40" s="90"/>
      <c r="K40" s="138"/>
      <c r="L40" s="145">
        <f t="shared" si="12"/>
        <v>33.670799738082223</v>
      </c>
      <c r="M40" s="145"/>
      <c r="N40" s="145">
        <f t="shared" si="13"/>
        <v>55.1973943415815</v>
      </c>
      <c r="O40" s="138"/>
      <c r="P40" s="139"/>
      <c r="Q40" s="145">
        <f t="shared" si="14"/>
        <v>51.055146203187988</v>
      </c>
      <c r="R40" s="145"/>
      <c r="S40" s="145">
        <f t="shared" si="15"/>
        <v>72.581740806687264</v>
      </c>
      <c r="T40" s="141"/>
      <c r="U40" s="141"/>
      <c r="V40" s="145">
        <v>9.7181847054214057</v>
      </c>
      <c r="W40" s="145">
        <v>8.9043428699999989</v>
      </c>
      <c r="X40" s="145">
        <v>15.048272162660821</v>
      </c>
      <c r="Y40" s="145">
        <v>17.384346465105761</v>
      </c>
      <c r="Z40" s="145">
        <v>21.9414809749209</v>
      </c>
      <c r="AA40" s="145">
        <v>17.561893823297023</v>
      </c>
      <c r="AB40" s="145">
        <v>15.694019543363577</v>
      </c>
      <c r="AC40" s="145">
        <v>13.9909624384706</v>
      </c>
      <c r="AD40" s="145">
        <v>13.139570714679241</v>
      </c>
      <c r="AE40" s="145">
        <v>11.721314837343202</v>
      </c>
      <c r="AF40" s="145">
        <v>11.258214103460665</v>
      </c>
      <c r="AG40" s="145">
        <v>9.4971252924263414</v>
      </c>
      <c r="AH40" s="145">
        <v>5.3667213871462902</v>
      </c>
      <c r="AI40" s="145">
        <v>4.9281899999999998</v>
      </c>
      <c r="AJ40" s="145">
        <v>4.6954944325092001</v>
      </c>
      <c r="AK40" s="145">
        <v>7.2555360000000002</v>
      </c>
      <c r="AL40" s="279">
        <v>0</v>
      </c>
      <c r="AM40" s="279">
        <v>0</v>
      </c>
      <c r="AN40" s="279">
        <v>0</v>
      </c>
      <c r="AO40" s="279">
        <v>0</v>
      </c>
      <c r="AP40" s="279">
        <v>0</v>
      </c>
      <c r="AQ40" s="279">
        <v>0</v>
      </c>
      <c r="AR40" s="279">
        <v>0</v>
      </c>
      <c r="AS40" s="279">
        <v>0</v>
      </c>
      <c r="AT40" s="279">
        <v>0</v>
      </c>
      <c r="AU40" s="276"/>
      <c r="AV40" s="279">
        <v>51.055146203187988</v>
      </c>
      <c r="AW40" s="279"/>
      <c r="AX40" s="279">
        <v>69.188356780052104</v>
      </c>
      <c r="AY40" s="279"/>
      <c r="AZ40" s="279">
        <v>45.616224947909451</v>
      </c>
      <c r="BA40" s="279"/>
      <c r="BB40" s="279">
        <v>22.245941819655489</v>
      </c>
      <c r="BC40" s="279"/>
      <c r="BD40" s="279">
        <f t="shared" si="2"/>
        <v>0</v>
      </c>
      <c r="BE40" s="279"/>
      <c r="BF40" s="279">
        <f t="shared" ref="BF40:BG42" si="31">AP40+AO40+AN40+AM40</f>
        <v>0</v>
      </c>
      <c r="BG40" s="279">
        <f t="shared" si="31"/>
        <v>0</v>
      </c>
      <c r="BH40" s="279">
        <f t="shared" ref="BH40:BI42" si="32">AR40+AQ40+AP40+AO40</f>
        <v>0</v>
      </c>
      <c r="BI40" s="279">
        <f t="shared" si="32"/>
        <v>0</v>
      </c>
      <c r="BJ40" s="279">
        <f t="shared" si="30"/>
        <v>0</v>
      </c>
      <c r="BK40" s="279">
        <f t="shared" si="11"/>
        <v>0</v>
      </c>
    </row>
    <row r="41" spans="2:63" s="91" customFormat="1" ht="20.25" customHeight="1" outlineLevel="1">
      <c r="B41" s="146" t="s">
        <v>300</v>
      </c>
      <c r="C41" s="90">
        <v>0</v>
      </c>
      <c r="D41" s="90">
        <v>0</v>
      </c>
      <c r="E41" s="90">
        <v>0</v>
      </c>
      <c r="F41" s="90">
        <v>0</v>
      </c>
      <c r="G41" s="90">
        <v>7.7044690771572916E-2</v>
      </c>
      <c r="H41" s="90">
        <v>2.5092870218579234E-2</v>
      </c>
      <c r="I41" s="90">
        <v>7.5944945355191883E-4</v>
      </c>
      <c r="J41" s="90"/>
      <c r="K41" s="138"/>
      <c r="L41" s="90">
        <f t="shared" si="12"/>
        <v>0</v>
      </c>
      <c r="M41" s="90"/>
      <c r="N41" s="90">
        <f t="shared" si="13"/>
        <v>0.10289701044370406</v>
      </c>
      <c r="O41" s="138"/>
      <c r="P41" s="139"/>
      <c r="Q41" s="90">
        <f t="shared" si="14"/>
        <v>0</v>
      </c>
      <c r="R41" s="90"/>
      <c r="S41" s="90">
        <f t="shared" si="15"/>
        <v>0.10289701044370406</v>
      </c>
      <c r="T41" s="141"/>
      <c r="U41" s="141"/>
      <c r="V41" s="90">
        <v>0</v>
      </c>
      <c r="W41" s="90">
        <v>0</v>
      </c>
      <c r="X41" s="90">
        <v>0</v>
      </c>
      <c r="Y41" s="90">
        <v>0</v>
      </c>
      <c r="Z41" s="90">
        <v>7.7044690771572916E-2</v>
      </c>
      <c r="AA41" s="90">
        <v>2.5092870218579234E-2</v>
      </c>
      <c r="AB41" s="90">
        <v>7.5944945355191883E-4</v>
      </c>
      <c r="AC41" s="90">
        <v>0</v>
      </c>
      <c r="AD41" s="90">
        <v>0</v>
      </c>
      <c r="AE41" s="90">
        <v>0</v>
      </c>
      <c r="AF41" s="90">
        <v>0</v>
      </c>
      <c r="AG41" s="90">
        <v>0</v>
      </c>
      <c r="AH41" s="90">
        <v>0</v>
      </c>
      <c r="AI41" s="90">
        <v>0</v>
      </c>
      <c r="AJ41" s="90">
        <v>0</v>
      </c>
      <c r="AK41" s="90">
        <v>0</v>
      </c>
      <c r="AL41" s="277">
        <v>0</v>
      </c>
      <c r="AM41" s="277">
        <v>0</v>
      </c>
      <c r="AN41" s="277">
        <v>0</v>
      </c>
      <c r="AO41" s="277">
        <v>0</v>
      </c>
      <c r="AP41" s="277">
        <v>0</v>
      </c>
      <c r="AQ41" s="277">
        <v>0</v>
      </c>
      <c r="AR41" s="277">
        <v>0</v>
      </c>
      <c r="AS41" s="277">
        <v>0</v>
      </c>
      <c r="AT41" s="277">
        <v>0</v>
      </c>
      <c r="AU41" s="276"/>
      <c r="AV41" s="277">
        <v>0</v>
      </c>
      <c r="AW41" s="277"/>
      <c r="AX41" s="277">
        <v>0.10289701044370406</v>
      </c>
      <c r="AY41" s="277"/>
      <c r="AZ41" s="277">
        <v>0</v>
      </c>
      <c r="BA41" s="277"/>
      <c r="BB41" s="277">
        <v>0</v>
      </c>
      <c r="BC41" s="277"/>
      <c r="BD41" s="277">
        <v>0</v>
      </c>
      <c r="BE41" s="277"/>
      <c r="BF41" s="277">
        <f t="shared" si="31"/>
        <v>0</v>
      </c>
      <c r="BG41" s="277">
        <f t="shared" si="31"/>
        <v>0</v>
      </c>
      <c r="BH41" s="277">
        <f t="shared" si="32"/>
        <v>0</v>
      </c>
      <c r="BI41" s="277">
        <f t="shared" si="32"/>
        <v>0</v>
      </c>
      <c r="BJ41" s="277">
        <f t="shared" ref="BJ41:BJ42" si="33">SUM(AP41:AS41)</f>
        <v>0</v>
      </c>
      <c r="BK41" s="277">
        <f t="shared" si="11"/>
        <v>0</v>
      </c>
    </row>
    <row r="42" spans="2:63" s="91" customFormat="1" ht="20.25" customHeight="1" outlineLevel="1">
      <c r="B42" s="146" t="s">
        <v>301</v>
      </c>
      <c r="C42" s="90">
        <v>0</v>
      </c>
      <c r="D42" s="90">
        <v>0</v>
      </c>
      <c r="E42" s="90">
        <v>1.4576497043838439</v>
      </c>
      <c r="F42" s="90">
        <v>1.7221595348942373</v>
      </c>
      <c r="G42" s="90">
        <v>1.642326972877296</v>
      </c>
      <c r="H42" s="90">
        <v>1.1210278881114184</v>
      </c>
      <c r="I42" s="90">
        <v>1.1532248629532</v>
      </c>
      <c r="J42" s="90"/>
      <c r="K42" s="138"/>
      <c r="L42" s="90">
        <f t="shared" si="12"/>
        <v>1.4576497043838439</v>
      </c>
      <c r="M42" s="90"/>
      <c r="N42" s="90">
        <f t="shared" si="13"/>
        <v>3.9165797239419149</v>
      </c>
      <c r="O42" s="138"/>
      <c r="P42" s="139"/>
      <c r="Q42" s="90">
        <f t="shared" si="14"/>
        <v>3.1798092392780815</v>
      </c>
      <c r="R42" s="90"/>
      <c r="S42" s="90">
        <f t="shared" si="15"/>
        <v>5.6387392588361518</v>
      </c>
      <c r="T42" s="141"/>
      <c r="U42" s="141"/>
      <c r="V42" s="90">
        <v>0</v>
      </c>
      <c r="W42" s="90">
        <v>0</v>
      </c>
      <c r="X42" s="90">
        <v>1.4576497043838439</v>
      </c>
      <c r="Y42" s="90">
        <v>1.7221595348942373</v>
      </c>
      <c r="Z42" s="90">
        <v>1.642326972877296</v>
      </c>
      <c r="AA42" s="90">
        <v>1.1210278881114184</v>
      </c>
      <c r="AB42" s="90">
        <v>1.1532248629532</v>
      </c>
      <c r="AC42" s="90">
        <v>0.72769291758102994</v>
      </c>
      <c r="AD42" s="90">
        <v>0</v>
      </c>
      <c r="AE42" s="90">
        <v>0</v>
      </c>
      <c r="AF42" s="90">
        <v>0</v>
      </c>
      <c r="AG42" s="90">
        <v>0</v>
      </c>
      <c r="AH42" s="90">
        <v>0</v>
      </c>
      <c r="AI42" s="90">
        <v>0</v>
      </c>
      <c r="AJ42" s="90">
        <v>0</v>
      </c>
      <c r="AK42" s="90">
        <v>0</v>
      </c>
      <c r="AL42" s="277">
        <v>0</v>
      </c>
      <c r="AM42" s="277">
        <v>0</v>
      </c>
      <c r="AN42" s="277">
        <v>0</v>
      </c>
      <c r="AO42" s="277">
        <v>0</v>
      </c>
      <c r="AP42" s="277">
        <v>0</v>
      </c>
      <c r="AQ42" s="277">
        <v>0</v>
      </c>
      <c r="AR42" s="277">
        <v>0</v>
      </c>
      <c r="AS42" s="277">
        <v>0</v>
      </c>
      <c r="AT42" s="277">
        <v>0</v>
      </c>
      <c r="AU42" s="276"/>
      <c r="AV42" s="277">
        <v>3.1798092392780815</v>
      </c>
      <c r="AW42" s="277"/>
      <c r="AX42" s="277">
        <v>4.6442726415229449</v>
      </c>
      <c r="AY42" s="277"/>
      <c r="AZ42" s="277">
        <v>0</v>
      </c>
      <c r="BA42" s="277"/>
      <c r="BB42" s="277">
        <v>0</v>
      </c>
      <c r="BC42" s="277"/>
      <c r="BD42" s="277">
        <v>0</v>
      </c>
      <c r="BE42" s="277"/>
      <c r="BF42" s="277">
        <f t="shared" si="31"/>
        <v>0</v>
      </c>
      <c r="BG42" s="277">
        <f t="shared" si="31"/>
        <v>0</v>
      </c>
      <c r="BH42" s="277">
        <f t="shared" si="32"/>
        <v>0</v>
      </c>
      <c r="BI42" s="277">
        <f t="shared" si="32"/>
        <v>0</v>
      </c>
      <c r="BJ42" s="277">
        <f t="shared" si="33"/>
        <v>0</v>
      </c>
      <c r="BK42" s="277">
        <f t="shared" si="11"/>
        <v>0</v>
      </c>
    </row>
    <row r="43" spans="2:63" s="91" customFormat="1" ht="20.25" customHeight="1">
      <c r="B43" s="92" t="s">
        <v>302</v>
      </c>
      <c r="C43" s="143">
        <f t="shared" ref="C43:I43" si="34">+C37+C38+C39</f>
        <v>69.565857328757119</v>
      </c>
      <c r="D43" s="143">
        <f t="shared" si="34"/>
        <v>70.082862417701392</v>
      </c>
      <c r="E43" s="143">
        <f t="shared" si="34"/>
        <v>68.893271860647545</v>
      </c>
      <c r="F43" s="143">
        <f t="shared" si="34"/>
        <v>75.277838688892402</v>
      </c>
      <c r="G43" s="143">
        <f t="shared" si="34"/>
        <v>74.150121248482833</v>
      </c>
      <c r="H43" s="143">
        <f t="shared" si="34"/>
        <v>69.360537364224541</v>
      </c>
      <c r="I43" s="143">
        <f t="shared" si="34"/>
        <v>58.544675767060006</v>
      </c>
      <c r="J43" s="137"/>
      <c r="K43" s="138"/>
      <c r="L43" s="143">
        <f t="shared" si="12"/>
        <v>208.54199160710607</v>
      </c>
      <c r="M43" s="143"/>
      <c r="N43" s="143">
        <f t="shared" si="13"/>
        <v>202.05533437976737</v>
      </c>
      <c r="O43" s="138"/>
      <c r="P43" s="139"/>
      <c r="Q43" s="143">
        <f t="shared" si="14"/>
        <v>283.81983029599849</v>
      </c>
      <c r="R43" s="143"/>
      <c r="S43" s="143">
        <f t="shared" si="15"/>
        <v>277.33317306865979</v>
      </c>
      <c r="T43" s="139"/>
      <c r="U43" s="139"/>
      <c r="V43" s="143">
        <v>69.565857508591606</v>
      </c>
      <c r="W43" s="143">
        <v>65.046843229016631</v>
      </c>
      <c r="X43" s="143">
        <v>68.893271827692232</v>
      </c>
      <c r="Y43" s="143">
        <v>72.670508561282475</v>
      </c>
      <c r="Z43" s="143">
        <v>76.353758757052617</v>
      </c>
      <c r="AA43" s="143">
        <v>64.880066794224575</v>
      </c>
      <c r="AB43" s="143">
        <v>60.54467562283039</v>
      </c>
      <c r="AC43" s="143">
        <v>53.023158747313545</v>
      </c>
      <c r="AD43" s="143">
        <v>44.386763049978882</v>
      </c>
      <c r="AE43" s="143">
        <v>43.131950619386423</v>
      </c>
      <c r="AF43" s="143">
        <v>48.694142254860722</v>
      </c>
      <c r="AG43" s="143">
        <v>37.157180100294816</v>
      </c>
      <c r="AH43" s="143">
        <v>46.465640489129207</v>
      </c>
      <c r="AI43" s="143">
        <v>50.911302617984717</v>
      </c>
      <c r="AJ43" s="143">
        <v>36.376240094449578</v>
      </c>
      <c r="AK43" s="143">
        <v>39.530245833904651</v>
      </c>
      <c r="AL43" s="278">
        <f t="shared" ref="AL43:AQ43" si="35">SUM(AL37:AL39)</f>
        <v>14.786509702665585</v>
      </c>
      <c r="AM43" s="278">
        <f t="shared" si="35"/>
        <v>16.882218378686918</v>
      </c>
      <c r="AN43" s="278">
        <f t="shared" si="35"/>
        <v>8.1746680289703093</v>
      </c>
      <c r="AO43" s="278">
        <f t="shared" si="35"/>
        <v>16.910292044365313</v>
      </c>
      <c r="AP43" s="278">
        <f t="shared" si="35"/>
        <v>14.503637964167897</v>
      </c>
      <c r="AQ43" s="278">
        <f t="shared" si="35"/>
        <v>20.99106716</v>
      </c>
      <c r="AR43" s="278">
        <f>SUM(AR37:AR39)</f>
        <v>15.910729808587599</v>
      </c>
      <c r="AS43" s="278">
        <f>SUM(AS37:AS39)</f>
        <v>9.0315942169871697</v>
      </c>
      <c r="AT43" s="278">
        <f>SUM(AT37:AT39)</f>
        <v>12.862000000000002</v>
      </c>
      <c r="AU43" s="276"/>
      <c r="AV43" s="278">
        <v>276.17648112658293</v>
      </c>
      <c r="AW43" s="278"/>
      <c r="AX43" s="278">
        <f t="shared" ref="AX43:BF43" si="36">SUM(AX37:AX39)</f>
        <v>254.80165992142102</v>
      </c>
      <c r="AY43" s="278">
        <f t="shared" si="36"/>
        <v>0</v>
      </c>
      <c r="AZ43" s="278">
        <f t="shared" si="36"/>
        <v>173.37003602452089</v>
      </c>
      <c r="BA43" s="278">
        <f t="shared" si="36"/>
        <v>0</v>
      </c>
      <c r="BB43" s="278">
        <f t="shared" si="36"/>
        <v>173.28342903546815</v>
      </c>
      <c r="BC43" s="278">
        <f t="shared" si="36"/>
        <v>0</v>
      </c>
      <c r="BD43" s="278">
        <f t="shared" si="36"/>
        <v>56.753688154688113</v>
      </c>
      <c r="BE43" s="278">
        <f t="shared" si="36"/>
        <v>0</v>
      </c>
      <c r="BF43" s="278">
        <f t="shared" si="36"/>
        <v>56.381994808011612</v>
      </c>
      <c r="BG43" s="278">
        <f>SUM(BG37:BG39)</f>
        <v>60.579665197503537</v>
      </c>
      <c r="BH43" s="278">
        <f>SUM(BH37:BH39)</f>
        <v>68.315726977120789</v>
      </c>
      <c r="BI43" s="278">
        <f>SUM(BI37:BI39)</f>
        <v>56.108655149742667</v>
      </c>
      <c r="BJ43" s="278">
        <f t="shared" ref="BJ43" si="37">SUM(BJ37:BJ39)</f>
        <v>60.467029149742686</v>
      </c>
      <c r="BK43" s="278">
        <f>SUM(BK37:BK39)</f>
        <v>58.795391185574772</v>
      </c>
    </row>
    <row r="44" spans="2:63" s="91" customFormat="1" ht="3.75" customHeight="1">
      <c r="B44" s="100"/>
      <c r="I44" s="91" t="s">
        <v>19</v>
      </c>
      <c r="J44" s="137"/>
      <c r="K44" s="138"/>
      <c r="M44" s="137"/>
      <c r="O44" s="138"/>
      <c r="P44" s="137"/>
      <c r="R44" s="137"/>
      <c r="T44" s="137"/>
      <c r="U44" s="137"/>
      <c r="AL44" s="280"/>
      <c r="AM44" s="280"/>
      <c r="AN44" s="280"/>
      <c r="AO44" s="280"/>
      <c r="AP44" s="280"/>
      <c r="AQ44" s="280"/>
      <c r="AR44" s="280"/>
      <c r="AS44" s="280"/>
      <c r="AT44" s="280"/>
      <c r="AU44" s="275"/>
      <c r="AV44" s="280"/>
      <c r="AW44" s="275"/>
      <c r="AX44" s="280"/>
      <c r="AY44" s="275"/>
      <c r="AZ44" s="280"/>
      <c r="BA44" s="275"/>
      <c r="BB44" s="280"/>
      <c r="BC44" s="275"/>
      <c r="BD44" s="280"/>
      <c r="BE44" s="275"/>
      <c r="BF44" s="280"/>
      <c r="BG44" s="280"/>
      <c r="BH44" s="280"/>
      <c r="BI44" s="280"/>
      <c r="BJ44" s="280"/>
      <c r="BK44" s="280"/>
    </row>
    <row r="45" spans="2:63" s="91" customFormat="1" ht="15.6">
      <c r="U45" s="83"/>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row>
    <row r="46" spans="2:63" s="91" customFormat="1" ht="15.6">
      <c r="U46" s="83"/>
    </row>
    <row r="47" spans="2:63"/>
    <row r="48" spans="2:63"/>
    <row r="49"/>
    <row r="50"/>
    <row r="51"/>
    <row r="52"/>
    <row r="53"/>
  </sheetData>
  <mergeCells count="1">
    <mergeCell ref="C3:S3"/>
  </mergeCells>
  <hyperlinks>
    <hyperlink ref="BJ2" location="Contents!A1" display="Back"/>
  </hyperlinks>
  <pageMargins left="0.25" right="0.25" top="0.75" bottom="0.75" header="0.3" footer="0.3"/>
  <pageSetup scale="63" orientation="landscape" r:id="rId1"/>
  <headerFooter>
    <oddFooter>&amp;A</oddFooter>
  </headerFooter>
  <ignoredErrors>
    <ignoredError sqref="BG2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9"/>
  <sheetViews>
    <sheetView showGridLines="0" zoomScale="90" zoomScaleNormal="90" workbookViewId="0">
      <selection activeCell="A1048576" sqref="A1048576"/>
    </sheetView>
  </sheetViews>
  <sheetFormatPr defaultColWidth="0" defaultRowHeight="13.8" zeroHeight="1"/>
  <cols>
    <col min="1" max="1" width="162.44140625" style="73" customWidth="1"/>
    <col min="2" max="2" width="3.44140625" style="73" customWidth="1"/>
    <col min="3" max="16384" width="8.44140625" style="73" hidden="1"/>
  </cols>
  <sheetData>
    <row r="1" spans="1:1" s="2" customFormat="1" ht="15.6">
      <c r="A1" s="69" t="s">
        <v>14</v>
      </c>
    </row>
    <row r="2" spans="1:1" s="2" customFormat="1" ht="23.4">
      <c r="A2" s="70" t="s">
        <v>5</v>
      </c>
    </row>
    <row r="3" spans="1:1" ht="165.6">
      <c r="A3" s="72" t="s">
        <v>305</v>
      </c>
    </row>
    <row r="4" spans="1:1" ht="76.2" customHeight="1">
      <c r="A4" s="72" t="s">
        <v>306</v>
      </c>
    </row>
    <row r="5" spans="1:1" ht="213.75" customHeight="1">
      <c r="A5" s="75" t="s">
        <v>307</v>
      </c>
    </row>
    <row r="6" spans="1:1" ht="89.55" customHeight="1">
      <c r="A6" s="74" t="s">
        <v>308</v>
      </c>
    </row>
    <row r="7" spans="1:1" ht="33" customHeight="1">
      <c r="A7" s="72" t="s">
        <v>309</v>
      </c>
    </row>
    <row r="8" spans="1:1" ht="12" customHeight="1">
      <c r="A8" s="72"/>
    </row>
    <row r="9" spans="1:1">
      <c r="A9" s="71"/>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BV68"/>
  <sheetViews>
    <sheetView showGridLines="0" zoomScale="90" zoomScaleNormal="90" zoomScaleSheetLayoutView="80" workbookViewId="0">
      <pane xSplit="2" ySplit="7" topLeftCell="N54" activePane="bottomRight" state="frozen"/>
      <selection activeCell="B22" sqref="B22"/>
      <selection pane="topRight" activeCell="B22" sqref="B22"/>
      <selection pane="bottomLeft" activeCell="B22" sqref="B22"/>
      <selection pane="bottomRight" activeCell="AN45" sqref="AN45"/>
    </sheetView>
  </sheetViews>
  <sheetFormatPr defaultColWidth="0" defaultRowHeight="13.8" outlineLevelCol="1"/>
  <cols>
    <col min="1" max="1" width="70.44140625" style="2" customWidth="1"/>
    <col min="2" max="2" width="1.44140625" style="68" hidden="1" customWidth="1"/>
    <col min="3" max="3" width="1.44140625" style="2" hidden="1" customWidth="1" outlineLevel="1"/>
    <col min="4" max="4" width="12.44140625" style="65" hidden="1" customWidth="1" outlineLevel="1"/>
    <col min="5" max="5" width="12.44140625" style="2" hidden="1" customWidth="1" outlineLevel="1"/>
    <col min="6" max="8" width="12.44140625" style="65" hidden="1" customWidth="1" outlineLevel="1"/>
    <col min="9" max="9" width="12.44140625" style="2" hidden="1" customWidth="1" outlineLevel="1"/>
    <col min="10" max="12" width="12.44140625" style="65" hidden="1" customWidth="1" outlineLevel="1"/>
    <col min="13" max="13" width="2.44140625" style="55" hidden="1" customWidth="1" outlineLevel="1"/>
    <col min="14" max="14" width="1.44140625" style="2" customWidth="1" collapsed="1"/>
    <col min="15" max="15" width="12.44140625" style="65" hidden="1" customWidth="1" outlineLevel="1"/>
    <col min="16" max="16" width="12.44140625" style="2" customWidth="1" collapsed="1"/>
    <col min="17" max="19" width="12.44140625" style="65" hidden="1" customWidth="1" outlineLevel="1"/>
    <col min="20" max="20" width="12.44140625" style="2" customWidth="1" collapsed="1"/>
    <col min="21" max="22" width="12.44140625" style="65" hidden="1" customWidth="1" outlineLevel="1"/>
    <col min="23" max="23" width="14.44140625" style="65" hidden="1" customWidth="1" outlineLevel="1"/>
    <col min="24" max="24" width="12.44140625" style="2" customWidth="1" collapsed="1"/>
    <col min="25" max="26" width="12.44140625" style="65" hidden="1" customWidth="1" outlineLevel="1"/>
    <col min="27" max="27" width="13.44140625" style="65" hidden="1" customWidth="1" outlineLevel="1"/>
    <col min="28" max="28" width="12.44140625" style="2" customWidth="1" collapsed="1"/>
    <col min="29" max="31" width="13.44140625" style="65" hidden="1" customWidth="1" outlineLevel="1"/>
    <col min="32" max="32" width="12.44140625" style="2" customWidth="1" collapsed="1"/>
    <col min="33" max="35" width="13.44140625" style="65" hidden="1" customWidth="1" outlineLevel="1"/>
    <col min="36" max="36" width="12.44140625" style="2" customWidth="1" collapsed="1"/>
    <col min="37" max="37" width="13.44140625" style="65" customWidth="1" outlineLevel="1"/>
    <col min="38" max="38" width="13.21875" style="65" customWidth="1" outlineLevel="1"/>
    <col min="39" max="39" width="13.21875" style="55" customWidth="1" outlineLevel="1"/>
    <col min="40" max="40" width="12.44140625" style="2" customWidth="1"/>
    <col min="41" max="41" width="13.44140625" style="65" customWidth="1" outlineLevel="1"/>
    <col min="42" max="42" width="9.44140625" style="55" customWidth="1"/>
    <col min="43" max="74" width="0" style="55" hidden="1" customWidth="1"/>
    <col min="75" max="16384" width="9.44140625" style="55" hidden="1"/>
  </cols>
  <sheetData>
    <row r="1" spans="1:42" ht="18">
      <c r="A1" s="53" t="s">
        <v>15</v>
      </c>
      <c r="D1" s="2"/>
      <c r="F1" s="2"/>
      <c r="G1" s="2"/>
      <c r="H1" s="2"/>
      <c r="J1" s="2"/>
      <c r="K1" s="2"/>
      <c r="L1" s="2"/>
      <c r="O1" s="2"/>
      <c r="Q1" s="2"/>
      <c r="R1" s="2"/>
      <c r="S1" s="2"/>
      <c r="U1" s="2"/>
      <c r="V1" s="2"/>
      <c r="W1" s="2"/>
      <c r="Y1" s="2"/>
      <c r="Z1" s="2"/>
      <c r="AA1" s="2"/>
      <c r="AC1" s="2"/>
      <c r="AD1" s="2"/>
      <c r="AE1" s="2"/>
      <c r="AG1" s="2"/>
      <c r="AH1" s="2"/>
      <c r="AI1" s="2"/>
      <c r="AK1" s="2"/>
      <c r="AL1" s="2"/>
      <c r="AO1" s="2"/>
    </row>
    <row r="2" spans="1:42" ht="14.4">
      <c r="A2" s="56" t="s">
        <v>16</v>
      </c>
      <c r="D2" s="2"/>
      <c r="F2" s="2"/>
      <c r="G2" s="2"/>
      <c r="H2" s="2"/>
      <c r="J2" s="2"/>
      <c r="K2" s="2"/>
      <c r="L2" s="2"/>
      <c r="O2" s="2"/>
      <c r="Q2" s="2"/>
      <c r="R2" s="2"/>
      <c r="S2" s="2"/>
      <c r="U2" s="2"/>
      <c r="V2" s="2"/>
      <c r="W2" s="2"/>
      <c r="Y2" s="2"/>
      <c r="Z2" s="2"/>
      <c r="AA2" s="2"/>
      <c r="AC2" s="2"/>
      <c r="AD2" s="2"/>
      <c r="AE2" s="2"/>
      <c r="AG2" s="2"/>
      <c r="AH2" s="2"/>
      <c r="AI2" s="2"/>
      <c r="AK2" s="2"/>
      <c r="AL2" s="2"/>
      <c r="AO2" s="2"/>
    </row>
    <row r="3" spans="1:42" ht="14.4">
      <c r="A3" s="56" t="s">
        <v>17</v>
      </c>
      <c r="D3" s="2"/>
      <c r="F3" s="2"/>
      <c r="G3" s="2"/>
      <c r="H3" s="2"/>
      <c r="J3" s="2"/>
      <c r="K3" s="2"/>
      <c r="L3" s="2"/>
      <c r="O3" s="2"/>
      <c r="Q3" s="2"/>
      <c r="R3" s="2"/>
      <c r="S3" s="2"/>
      <c r="U3" s="2"/>
      <c r="V3" s="2"/>
      <c r="W3" s="2"/>
      <c r="Y3" s="2"/>
      <c r="Z3" s="2"/>
      <c r="AA3" s="2"/>
      <c r="AC3" s="2"/>
      <c r="AD3" s="2"/>
      <c r="AE3" s="2"/>
      <c r="AG3" s="2"/>
      <c r="AH3" s="2"/>
      <c r="AI3" s="2"/>
      <c r="AK3" s="2"/>
      <c r="AL3" s="2"/>
      <c r="AO3" s="2"/>
    </row>
    <row r="4" spans="1:42">
      <c r="A4" s="66"/>
      <c r="D4" s="2"/>
      <c r="F4" s="2"/>
      <c r="G4" s="2"/>
      <c r="H4" s="2"/>
      <c r="J4" s="2"/>
      <c r="K4" s="2"/>
      <c r="L4" s="2"/>
      <c r="O4" s="2"/>
      <c r="Q4" s="2"/>
      <c r="R4" s="2"/>
      <c r="S4" s="2"/>
      <c r="U4" s="2"/>
      <c r="V4" s="2"/>
      <c r="W4" s="2"/>
      <c r="Y4" s="2"/>
      <c r="Z4" s="2"/>
      <c r="AA4" s="2"/>
      <c r="AC4" s="2"/>
      <c r="AD4" s="2"/>
      <c r="AE4" s="2"/>
      <c r="AG4" s="2"/>
      <c r="AH4" s="2"/>
      <c r="AI4" s="2"/>
      <c r="AK4" s="2"/>
      <c r="AL4" s="2"/>
      <c r="AO4" s="2"/>
    </row>
    <row r="5" spans="1:42" ht="15.6">
      <c r="A5" s="60" t="s">
        <v>18</v>
      </c>
      <c r="D5" s="2" t="s">
        <v>19</v>
      </c>
      <c r="F5" s="2"/>
      <c r="G5" s="2"/>
      <c r="H5" s="2"/>
      <c r="J5" s="2"/>
      <c r="K5" s="2"/>
      <c r="L5" s="2"/>
      <c r="O5" s="67" t="s">
        <v>19</v>
      </c>
      <c r="P5" s="2" t="s">
        <v>19</v>
      </c>
      <c r="Q5" s="67" t="s">
        <v>19</v>
      </c>
      <c r="R5" s="67" t="s">
        <v>19</v>
      </c>
      <c r="S5" s="67" t="s">
        <v>19</v>
      </c>
      <c r="T5" s="2" t="s">
        <v>19</v>
      </c>
      <c r="U5" s="67" t="s">
        <v>19</v>
      </c>
      <c r="V5" s="67" t="s">
        <v>19</v>
      </c>
      <c r="W5" s="67" t="s">
        <v>19</v>
      </c>
      <c r="Y5" s="67" t="s">
        <v>19</v>
      </c>
      <c r="Z5" s="67"/>
      <c r="AA5" s="67"/>
      <c r="AC5" s="67"/>
      <c r="AD5" s="67"/>
      <c r="AE5" s="67"/>
      <c r="AG5" s="67"/>
      <c r="AH5" s="67"/>
      <c r="AI5" s="67"/>
      <c r="AK5" s="67"/>
      <c r="AL5" s="67"/>
      <c r="AO5" s="67"/>
    </row>
    <row r="6" spans="1:42" s="209" customFormat="1" ht="28.2" thickBot="1">
      <c r="A6" s="168"/>
      <c r="B6" s="207"/>
      <c r="C6" s="168"/>
      <c r="D6" s="208" t="s">
        <v>20</v>
      </c>
      <c r="E6" s="208" t="s">
        <v>20</v>
      </c>
      <c r="F6" s="208" t="s">
        <v>20</v>
      </c>
      <c r="G6" s="208" t="s">
        <v>20</v>
      </c>
      <c r="H6" s="208" t="s">
        <v>20</v>
      </c>
      <c r="I6" s="208" t="s">
        <v>20</v>
      </c>
      <c r="J6" s="208" t="s">
        <v>20</v>
      </c>
      <c r="K6" s="208" t="s">
        <v>20</v>
      </c>
      <c r="L6" s="208" t="s">
        <v>20</v>
      </c>
      <c r="N6" s="168"/>
      <c r="O6" s="231" t="s">
        <v>21</v>
      </c>
      <c r="P6" s="231" t="s">
        <v>21</v>
      </c>
      <c r="Q6" s="231" t="s">
        <v>21</v>
      </c>
      <c r="R6" s="231" t="s">
        <v>21</v>
      </c>
      <c r="S6" s="231" t="s">
        <v>21</v>
      </c>
      <c r="T6" s="231" t="s">
        <v>21</v>
      </c>
      <c r="U6" s="231" t="s">
        <v>21</v>
      </c>
      <c r="V6" s="231" t="s">
        <v>21</v>
      </c>
      <c r="W6" s="231" t="s">
        <v>21</v>
      </c>
      <c r="X6" s="208"/>
      <c r="Y6" s="155" t="s">
        <v>19</v>
      </c>
      <c r="Z6" s="155"/>
      <c r="AA6" s="155"/>
      <c r="AB6" s="208"/>
      <c r="AC6" s="155"/>
      <c r="AD6" s="155"/>
      <c r="AE6" s="155"/>
      <c r="AF6" s="231" t="s">
        <v>21</v>
      </c>
      <c r="AG6" s="155"/>
      <c r="AH6" s="155"/>
      <c r="AI6" s="155"/>
      <c r="AJ6" s="231" t="s">
        <v>19</v>
      </c>
      <c r="AK6" s="155"/>
      <c r="AL6" s="155"/>
      <c r="AN6" s="231"/>
      <c r="AO6" s="155"/>
      <c r="AP6" s="210" t="s">
        <v>14</v>
      </c>
    </row>
    <row r="7" spans="1:42" s="157" customFormat="1" ht="42" thickBot="1">
      <c r="A7" s="154" t="s">
        <v>22</v>
      </c>
      <c r="B7" s="154"/>
      <c r="C7" s="154"/>
      <c r="D7" s="160" t="s">
        <v>23</v>
      </c>
      <c r="E7" s="159" t="s">
        <v>24</v>
      </c>
      <c r="F7" s="160" t="s">
        <v>25</v>
      </c>
      <c r="G7" s="160" t="s">
        <v>26</v>
      </c>
      <c r="H7" s="160" t="s">
        <v>27</v>
      </c>
      <c r="I7" s="159" t="s">
        <v>28</v>
      </c>
      <c r="J7" s="160" t="s">
        <v>29</v>
      </c>
      <c r="K7" s="160" t="s">
        <v>30</v>
      </c>
      <c r="L7" s="160" t="s">
        <v>31</v>
      </c>
      <c r="N7" s="154"/>
      <c r="O7" s="160" t="s">
        <v>23</v>
      </c>
      <c r="P7" s="159" t="s">
        <v>24</v>
      </c>
      <c r="Q7" s="160" t="s">
        <v>25</v>
      </c>
      <c r="R7" s="160" t="s">
        <v>26</v>
      </c>
      <c r="S7" s="160" t="s">
        <v>27</v>
      </c>
      <c r="T7" s="159" t="s">
        <v>28</v>
      </c>
      <c r="U7" s="160" t="s">
        <v>29</v>
      </c>
      <c r="V7" s="160" t="s">
        <v>30</v>
      </c>
      <c r="W7" s="160" t="s">
        <v>31</v>
      </c>
      <c r="X7" s="159" t="s">
        <v>32</v>
      </c>
      <c r="Y7" s="160" t="s">
        <v>33</v>
      </c>
      <c r="Z7" s="160" t="s">
        <v>34</v>
      </c>
      <c r="AA7" s="160" t="s">
        <v>35</v>
      </c>
      <c r="AB7" s="159" t="s">
        <v>36</v>
      </c>
      <c r="AC7" s="160" t="s">
        <v>37</v>
      </c>
      <c r="AD7" s="160" t="s">
        <v>38</v>
      </c>
      <c r="AE7" s="160" t="s">
        <v>39</v>
      </c>
      <c r="AF7" s="159" t="s">
        <v>40</v>
      </c>
      <c r="AG7" s="160" t="s">
        <v>41</v>
      </c>
      <c r="AH7" s="160" t="s">
        <v>42</v>
      </c>
      <c r="AI7" s="160" t="s">
        <v>328</v>
      </c>
      <c r="AJ7" s="159" t="s">
        <v>332</v>
      </c>
      <c r="AK7" s="160" t="s">
        <v>340</v>
      </c>
      <c r="AL7" s="160" t="s">
        <v>348</v>
      </c>
      <c r="AM7" s="160" t="s">
        <v>347</v>
      </c>
      <c r="AN7" s="159" t="s">
        <v>364</v>
      </c>
      <c r="AO7" s="160" t="s">
        <v>384</v>
      </c>
    </row>
    <row r="8" spans="1:42" s="209" customFormat="1">
      <c r="A8" s="211" t="s">
        <v>43</v>
      </c>
      <c r="B8" s="207"/>
      <c r="C8" s="168"/>
      <c r="D8" s="186"/>
      <c r="E8" s="226"/>
      <c r="F8" s="186"/>
      <c r="G8" s="186"/>
      <c r="H8" s="186"/>
      <c r="I8" s="226"/>
      <c r="J8" s="186"/>
      <c r="K8" s="186"/>
      <c r="L8" s="186"/>
      <c r="N8" s="168"/>
      <c r="O8" s="186"/>
      <c r="P8" s="226"/>
      <c r="Q8" s="186"/>
      <c r="R8" s="186"/>
      <c r="S8" s="186"/>
      <c r="T8" s="226"/>
      <c r="U8" s="186"/>
      <c r="V8" s="186"/>
      <c r="W8" s="186"/>
      <c r="X8" s="226"/>
      <c r="Y8" s="186"/>
      <c r="Z8" s="186"/>
      <c r="AA8" s="186"/>
      <c r="AB8" s="226"/>
      <c r="AC8" s="186"/>
      <c r="AD8" s="186"/>
      <c r="AE8" s="186"/>
      <c r="AF8" s="226"/>
      <c r="AG8" s="186"/>
      <c r="AH8" s="186"/>
      <c r="AI8" s="186"/>
      <c r="AJ8" s="226"/>
      <c r="AK8" s="186"/>
      <c r="AL8" s="186"/>
      <c r="AN8" s="226"/>
      <c r="AO8" s="186"/>
    </row>
    <row r="9" spans="1:42" s="209" customFormat="1">
      <c r="A9" s="212" t="s">
        <v>44</v>
      </c>
      <c r="B9" s="207"/>
      <c r="C9" s="168" t="s">
        <v>45</v>
      </c>
      <c r="D9" s="171">
        <v>30592</v>
      </c>
      <c r="E9" s="201">
        <v>39000</v>
      </c>
      <c r="F9" s="171">
        <v>26882</v>
      </c>
      <c r="G9" s="171">
        <v>55783</v>
      </c>
      <c r="H9" s="171">
        <v>40692</v>
      </c>
      <c r="I9" s="201">
        <v>25615</v>
      </c>
      <c r="J9" s="171">
        <v>8262</v>
      </c>
      <c r="K9" s="171">
        <v>18449</v>
      </c>
      <c r="L9" s="171">
        <v>10312</v>
      </c>
      <c r="M9" s="213"/>
      <c r="N9" s="168" t="s">
        <v>45</v>
      </c>
      <c r="O9" s="171">
        <v>27368</v>
      </c>
      <c r="P9" s="201">
        <v>39000</v>
      </c>
      <c r="Q9" s="171">
        <v>29010</v>
      </c>
      <c r="R9" s="171">
        <v>56961</v>
      </c>
      <c r="S9" s="171">
        <v>41206</v>
      </c>
      <c r="T9" s="201">
        <v>36206</v>
      </c>
      <c r="U9" s="171">
        <v>8559</v>
      </c>
      <c r="V9" s="171">
        <v>18406</v>
      </c>
      <c r="W9" s="171">
        <v>9358</v>
      </c>
      <c r="X9" s="201">
        <v>6198</v>
      </c>
      <c r="Y9" s="171">
        <v>113013</v>
      </c>
      <c r="Z9" s="171">
        <v>86470</v>
      </c>
      <c r="AA9" s="171">
        <v>37176</v>
      </c>
      <c r="AB9" s="201">
        <v>68221</v>
      </c>
      <c r="AC9" s="171">
        <v>22055</v>
      </c>
      <c r="AD9" s="171">
        <v>45866</v>
      </c>
      <c r="AE9" s="171">
        <v>146175</v>
      </c>
      <c r="AF9" s="201">
        <v>20775</v>
      </c>
      <c r="AG9" s="171">
        <v>38263</v>
      </c>
      <c r="AH9" s="171">
        <v>50261</v>
      </c>
      <c r="AI9" s="171">
        <v>10401</v>
      </c>
      <c r="AJ9" s="201">
        <v>15073</v>
      </c>
      <c r="AK9" s="171">
        <v>9908</v>
      </c>
      <c r="AL9" s="171">
        <v>10718</v>
      </c>
      <c r="AM9" s="213">
        <v>6142</v>
      </c>
      <c r="AN9" s="201">
        <v>23341</v>
      </c>
      <c r="AO9" s="171">
        <v>9501</v>
      </c>
      <c r="AP9" s="171"/>
    </row>
    <row r="10" spans="1:42" s="209" customFormat="1">
      <c r="A10" s="212" t="s">
        <v>46</v>
      </c>
      <c r="B10" s="207"/>
      <c r="C10" s="168"/>
      <c r="D10" s="171">
        <v>18239</v>
      </c>
      <c r="E10" s="201">
        <v>42489</v>
      </c>
      <c r="F10" s="171">
        <v>12549</v>
      </c>
      <c r="G10" s="171">
        <v>31088</v>
      </c>
      <c r="H10" s="171">
        <v>8955</v>
      </c>
      <c r="I10" s="201">
        <v>18239</v>
      </c>
      <c r="J10" s="171">
        <v>4998</v>
      </c>
      <c r="K10" s="171">
        <v>4977</v>
      </c>
      <c r="L10" s="171">
        <v>4913</v>
      </c>
      <c r="N10" s="168"/>
      <c r="O10" s="171">
        <v>37315</v>
      </c>
      <c r="P10" s="201">
        <v>42489</v>
      </c>
      <c r="Q10" s="171">
        <v>10421</v>
      </c>
      <c r="R10" s="171">
        <v>29910</v>
      </c>
      <c r="S10" s="171">
        <v>8441</v>
      </c>
      <c r="T10" s="201">
        <v>7648</v>
      </c>
      <c r="U10" s="171">
        <v>4701</v>
      </c>
      <c r="V10" s="171">
        <v>5020</v>
      </c>
      <c r="W10" s="171">
        <v>5867</v>
      </c>
      <c r="X10" s="201">
        <v>7901</v>
      </c>
      <c r="Y10" s="171">
        <v>9563</v>
      </c>
      <c r="Z10" s="171">
        <v>5457</v>
      </c>
      <c r="AA10" s="171">
        <v>6032</v>
      </c>
      <c r="AB10" s="201">
        <v>2088</v>
      </c>
      <c r="AC10" s="171">
        <v>1683</v>
      </c>
      <c r="AD10" s="171">
        <v>1998</v>
      </c>
      <c r="AE10" s="171">
        <v>24814</v>
      </c>
      <c r="AF10" s="201">
        <v>27285</v>
      </c>
      <c r="AG10" s="171">
        <v>43712</v>
      </c>
      <c r="AH10" s="171">
        <v>42916</v>
      </c>
      <c r="AI10" s="171">
        <v>34402</v>
      </c>
      <c r="AJ10" s="201">
        <v>29994</v>
      </c>
      <c r="AK10" s="171">
        <v>40911</v>
      </c>
      <c r="AL10" s="171">
        <v>42792</v>
      </c>
      <c r="AM10" s="209">
        <v>39352</v>
      </c>
      <c r="AN10" s="201">
        <v>43812</v>
      </c>
      <c r="AO10" s="171">
        <v>24523</v>
      </c>
      <c r="AP10" s="171"/>
    </row>
    <row r="11" spans="1:42" s="209" customFormat="1">
      <c r="A11" s="212" t="s">
        <v>47</v>
      </c>
      <c r="B11" s="207"/>
      <c r="C11" s="168"/>
      <c r="D11" s="171">
        <v>267943</v>
      </c>
      <c r="E11" s="201">
        <v>229704</v>
      </c>
      <c r="F11" s="171">
        <v>238680</v>
      </c>
      <c r="G11" s="171">
        <v>262260</v>
      </c>
      <c r="H11" s="171">
        <v>253986</v>
      </c>
      <c r="I11" s="201">
        <v>270812</v>
      </c>
      <c r="J11" s="171">
        <v>278064</v>
      </c>
      <c r="K11" s="171">
        <v>266660</v>
      </c>
      <c r="L11" s="171">
        <v>260438</v>
      </c>
      <c r="M11" s="213"/>
      <c r="N11" s="168"/>
      <c r="O11" s="171">
        <v>227704</v>
      </c>
      <c r="P11" s="201">
        <v>229704</v>
      </c>
      <c r="Q11" s="171">
        <v>238680</v>
      </c>
      <c r="R11" s="171">
        <v>262260</v>
      </c>
      <c r="S11" s="171">
        <v>253986</v>
      </c>
      <c r="T11" s="201">
        <v>270812</v>
      </c>
      <c r="U11" s="171">
        <v>278064</v>
      </c>
      <c r="V11" s="171">
        <v>266660</v>
      </c>
      <c r="W11" s="171">
        <v>260438</v>
      </c>
      <c r="X11" s="201">
        <v>261400</v>
      </c>
      <c r="Y11" s="171">
        <v>242757</v>
      </c>
      <c r="Z11" s="171">
        <v>219433</v>
      </c>
      <c r="AA11" s="171">
        <v>214949</v>
      </c>
      <c r="AB11" s="201">
        <v>206868</v>
      </c>
      <c r="AC11" s="171">
        <v>216077</v>
      </c>
      <c r="AD11" s="171">
        <v>201929</v>
      </c>
      <c r="AE11" s="171">
        <v>187819</v>
      </c>
      <c r="AF11" s="201">
        <v>184102</v>
      </c>
      <c r="AG11" s="171">
        <v>189585</v>
      </c>
      <c r="AH11" s="171">
        <v>99350</v>
      </c>
      <c r="AI11" s="171">
        <v>93600</v>
      </c>
      <c r="AJ11" s="201">
        <v>101616</v>
      </c>
      <c r="AK11" s="171">
        <v>99322</v>
      </c>
      <c r="AL11" s="171">
        <v>106831</v>
      </c>
      <c r="AM11" s="213">
        <v>96867</v>
      </c>
      <c r="AN11" s="201">
        <v>76893</v>
      </c>
      <c r="AO11" s="171">
        <v>75777</v>
      </c>
      <c r="AP11" s="171"/>
    </row>
    <row r="12" spans="1:42" s="209" customFormat="1">
      <c r="A12" s="212" t="s">
        <v>48</v>
      </c>
      <c r="B12" s="207"/>
      <c r="C12" s="168"/>
      <c r="D12" s="171">
        <v>0</v>
      </c>
      <c r="E12" s="201">
        <v>0</v>
      </c>
      <c r="F12" s="171">
        <v>0</v>
      </c>
      <c r="G12" s="171">
        <v>0</v>
      </c>
      <c r="H12" s="171">
        <v>0</v>
      </c>
      <c r="I12" s="201">
        <v>0</v>
      </c>
      <c r="J12" s="171">
        <v>0</v>
      </c>
      <c r="K12" s="171">
        <v>206</v>
      </c>
      <c r="L12" s="171">
        <v>42</v>
      </c>
      <c r="M12" s="213"/>
      <c r="N12" s="168"/>
      <c r="O12" s="171">
        <v>0</v>
      </c>
      <c r="P12" s="201">
        <v>0</v>
      </c>
      <c r="Q12" s="171">
        <v>0</v>
      </c>
      <c r="R12" s="171">
        <v>0</v>
      </c>
      <c r="S12" s="171">
        <v>0</v>
      </c>
      <c r="T12" s="201">
        <v>0</v>
      </c>
      <c r="U12" s="171">
        <v>0</v>
      </c>
      <c r="V12" s="171">
        <v>206</v>
      </c>
      <c r="W12" s="171">
        <v>42</v>
      </c>
      <c r="X12" s="201">
        <v>716</v>
      </c>
      <c r="Y12" s="171">
        <v>866</v>
      </c>
      <c r="Z12" s="171">
        <v>906</v>
      </c>
      <c r="AA12" s="171">
        <v>786</v>
      </c>
      <c r="AB12" s="201">
        <v>711</v>
      </c>
      <c r="AC12" s="171">
        <v>702</v>
      </c>
      <c r="AD12" s="171">
        <v>712</v>
      </c>
      <c r="AE12" s="171">
        <v>725</v>
      </c>
      <c r="AF12" s="201">
        <v>715</v>
      </c>
      <c r="AG12" s="171">
        <v>719</v>
      </c>
      <c r="AH12" s="171">
        <v>715</v>
      </c>
      <c r="AI12" s="171">
        <v>504</v>
      </c>
      <c r="AJ12" s="201">
        <v>759</v>
      </c>
      <c r="AK12" s="171">
        <v>741</v>
      </c>
      <c r="AL12" s="171">
        <v>463</v>
      </c>
      <c r="AM12" s="213">
        <v>117</v>
      </c>
      <c r="AN12" s="201">
        <v>296</v>
      </c>
      <c r="AO12" s="171">
        <v>474</v>
      </c>
      <c r="AP12" s="171"/>
    </row>
    <row r="13" spans="1:42" s="209" customFormat="1">
      <c r="A13" s="212" t="s">
        <v>349</v>
      </c>
      <c r="B13" s="207"/>
      <c r="C13" s="168"/>
      <c r="D13" s="171"/>
      <c r="E13" s="201"/>
      <c r="F13" s="171"/>
      <c r="G13" s="171"/>
      <c r="H13" s="171"/>
      <c r="I13" s="201"/>
      <c r="J13" s="171"/>
      <c r="K13" s="171"/>
      <c r="L13" s="171"/>
      <c r="M13" s="213"/>
      <c r="N13" s="168"/>
      <c r="O13" s="171"/>
      <c r="P13" s="201"/>
      <c r="Q13" s="171"/>
      <c r="R13" s="171"/>
      <c r="S13" s="171"/>
      <c r="T13" s="201"/>
      <c r="U13" s="171"/>
      <c r="V13" s="171"/>
      <c r="W13" s="171"/>
      <c r="X13" s="201"/>
      <c r="Y13" s="171"/>
      <c r="Z13" s="171"/>
      <c r="AA13" s="171"/>
      <c r="AB13" s="201"/>
      <c r="AC13" s="171"/>
      <c r="AD13" s="171"/>
      <c r="AE13" s="171"/>
      <c r="AF13" s="201"/>
      <c r="AG13" s="171"/>
      <c r="AH13" s="171"/>
      <c r="AI13" s="171"/>
      <c r="AJ13" s="201">
        <v>0</v>
      </c>
      <c r="AK13" s="171"/>
      <c r="AL13" s="171">
        <v>539</v>
      </c>
      <c r="AM13" s="213">
        <v>129</v>
      </c>
      <c r="AN13" s="201">
        <v>0</v>
      </c>
      <c r="AO13" s="171"/>
      <c r="AP13" s="171"/>
    </row>
    <row r="14" spans="1:42" s="209" customFormat="1">
      <c r="A14" s="212" t="s">
        <v>49</v>
      </c>
      <c r="B14" s="207"/>
      <c r="C14" s="168"/>
      <c r="D14" s="171">
        <v>16220</v>
      </c>
      <c r="E14" s="201">
        <v>11922</v>
      </c>
      <c r="F14" s="171">
        <v>13519</v>
      </c>
      <c r="G14" s="171">
        <v>15088</v>
      </c>
      <c r="H14" s="171">
        <v>16122</v>
      </c>
      <c r="I14" s="201">
        <v>16220</v>
      </c>
      <c r="J14" s="171">
        <v>16321</v>
      </c>
      <c r="K14" s="171">
        <v>16735</v>
      </c>
      <c r="L14" s="171">
        <v>16996</v>
      </c>
      <c r="N14" s="168"/>
      <c r="O14" s="171">
        <v>13634</v>
      </c>
      <c r="P14" s="201">
        <v>11922</v>
      </c>
      <c r="Q14" s="171">
        <v>13519</v>
      </c>
      <c r="R14" s="171">
        <v>15088</v>
      </c>
      <c r="S14" s="171">
        <v>16122</v>
      </c>
      <c r="T14" s="201">
        <v>16220</v>
      </c>
      <c r="U14" s="171">
        <v>16321</v>
      </c>
      <c r="V14" s="171">
        <v>16735</v>
      </c>
      <c r="W14" s="171">
        <v>16996</v>
      </c>
      <c r="X14" s="201">
        <v>19047</v>
      </c>
      <c r="Y14" s="171">
        <v>17353</v>
      </c>
      <c r="Z14" s="171">
        <v>17268</v>
      </c>
      <c r="AA14" s="171">
        <v>17428</v>
      </c>
      <c r="AB14" s="201">
        <v>14314</v>
      </c>
      <c r="AC14" s="171">
        <v>14845</v>
      </c>
      <c r="AD14" s="171">
        <v>15130</v>
      </c>
      <c r="AE14" s="171">
        <v>16055</v>
      </c>
      <c r="AF14" s="201">
        <v>15215</v>
      </c>
      <c r="AG14" s="171">
        <v>16011</v>
      </c>
      <c r="AH14" s="171">
        <v>16225</v>
      </c>
      <c r="AI14" s="171">
        <v>17234</v>
      </c>
      <c r="AJ14" s="201">
        <v>16848</v>
      </c>
      <c r="AK14" s="171">
        <v>16913</v>
      </c>
      <c r="AL14" s="171">
        <v>11055</v>
      </c>
      <c r="AM14" s="209">
        <v>11003</v>
      </c>
      <c r="AN14" s="201">
        <v>11502</v>
      </c>
      <c r="AO14" s="171">
        <v>12473</v>
      </c>
      <c r="AP14" s="171"/>
    </row>
    <row r="15" spans="1:42" s="209" customFormat="1" ht="14.4" thickBot="1">
      <c r="A15" s="212" t="s">
        <v>50</v>
      </c>
      <c r="B15" s="207"/>
      <c r="C15" s="168"/>
      <c r="D15" s="171">
        <v>24870</v>
      </c>
      <c r="E15" s="201">
        <v>24596</v>
      </c>
      <c r="F15" s="171">
        <v>27520</v>
      </c>
      <c r="G15" s="171">
        <v>24108</v>
      </c>
      <c r="H15" s="171">
        <v>26933</v>
      </c>
      <c r="I15" s="201">
        <v>25015</v>
      </c>
      <c r="J15" s="171">
        <v>25330</v>
      </c>
      <c r="K15" s="171">
        <v>23791</v>
      </c>
      <c r="L15" s="171">
        <v>22695</v>
      </c>
      <c r="M15" s="213"/>
      <c r="N15" s="168"/>
      <c r="O15" s="171">
        <v>24262</v>
      </c>
      <c r="P15" s="201">
        <v>26196</v>
      </c>
      <c r="Q15" s="171">
        <v>27520</v>
      </c>
      <c r="R15" s="171">
        <v>24108</v>
      </c>
      <c r="S15" s="171">
        <v>26933</v>
      </c>
      <c r="T15" s="201">
        <v>24937</v>
      </c>
      <c r="U15" s="171">
        <v>25252</v>
      </c>
      <c r="V15" s="171">
        <v>23713</v>
      </c>
      <c r="W15" s="171">
        <v>22617</v>
      </c>
      <c r="X15" s="201">
        <v>23663</v>
      </c>
      <c r="Y15" s="171">
        <v>30271</v>
      </c>
      <c r="Z15" s="171">
        <v>33695</v>
      </c>
      <c r="AA15" s="171">
        <v>33359</v>
      </c>
      <c r="AB15" s="201">
        <v>31091</v>
      </c>
      <c r="AC15" s="171">
        <v>33429</v>
      </c>
      <c r="AD15" s="171">
        <v>25822</v>
      </c>
      <c r="AE15" s="171">
        <v>26004</v>
      </c>
      <c r="AF15" s="201">
        <v>31799</v>
      </c>
      <c r="AG15" s="171">
        <v>34253</v>
      </c>
      <c r="AH15" s="171">
        <v>29785</v>
      </c>
      <c r="AI15" s="171">
        <v>28551</v>
      </c>
      <c r="AJ15" s="201">
        <v>26206</v>
      </c>
      <c r="AK15" s="171">
        <v>28020</v>
      </c>
      <c r="AL15" s="171">
        <v>21463</v>
      </c>
      <c r="AM15" s="213">
        <v>21483</v>
      </c>
      <c r="AN15" s="201">
        <v>25364</v>
      </c>
      <c r="AO15" s="171">
        <v>27651</v>
      </c>
      <c r="AP15" s="171"/>
    </row>
    <row r="16" spans="1:42" s="209" customFormat="1">
      <c r="A16" s="214" t="s">
        <v>51</v>
      </c>
      <c r="B16" s="207"/>
      <c r="C16" s="168"/>
      <c r="D16" s="215">
        <v>357864</v>
      </c>
      <c r="E16" s="227">
        <v>347711</v>
      </c>
      <c r="F16" s="215">
        <v>319150</v>
      </c>
      <c r="G16" s="215">
        <v>388327</v>
      </c>
      <c r="H16" s="215">
        <v>346688</v>
      </c>
      <c r="I16" s="227">
        <v>355901</v>
      </c>
      <c r="J16" s="215">
        <v>332975</v>
      </c>
      <c r="K16" s="215">
        <v>330818</v>
      </c>
      <c r="L16" s="215">
        <v>315396</v>
      </c>
      <c r="M16" s="213"/>
      <c r="N16" s="168"/>
      <c r="O16" s="215">
        <f>SUM(O9:O15)</f>
        <v>330283</v>
      </c>
      <c r="P16" s="227">
        <f>SUM(P9:P15)</f>
        <v>349311</v>
      </c>
      <c r="Q16" s="215">
        <v>319150</v>
      </c>
      <c r="R16" s="215">
        <v>388327</v>
      </c>
      <c r="S16" s="215">
        <v>346688</v>
      </c>
      <c r="T16" s="227">
        <v>355823</v>
      </c>
      <c r="U16" s="215">
        <v>332897</v>
      </c>
      <c r="V16" s="215">
        <v>330740</v>
      </c>
      <c r="W16" s="215">
        <v>315318</v>
      </c>
      <c r="X16" s="227">
        <v>318925</v>
      </c>
      <c r="Y16" s="215">
        <v>413823</v>
      </c>
      <c r="Z16" s="215">
        <v>363229</v>
      </c>
      <c r="AA16" s="215">
        <v>309730</v>
      </c>
      <c r="AB16" s="227">
        <v>323293</v>
      </c>
      <c r="AC16" s="215">
        <v>288791</v>
      </c>
      <c r="AD16" s="215">
        <v>291457</v>
      </c>
      <c r="AE16" s="215">
        <v>401592</v>
      </c>
      <c r="AF16" s="227">
        <v>279891</v>
      </c>
      <c r="AG16" s="215">
        <v>322543</v>
      </c>
      <c r="AH16" s="215">
        <v>239252</v>
      </c>
      <c r="AI16" s="215">
        <v>184692</v>
      </c>
      <c r="AJ16" s="227">
        <v>190496</v>
      </c>
      <c r="AK16" s="215">
        <f>SUM(AK9:AK15)</f>
        <v>195815</v>
      </c>
      <c r="AL16" s="215">
        <f>SUM(AL9:AL15)</f>
        <v>193861</v>
      </c>
      <c r="AM16" s="215">
        <f t="shared" ref="AM16:AN16" si="0">SUM(AM9:AM15)</f>
        <v>175093</v>
      </c>
      <c r="AN16" s="227">
        <f t="shared" si="0"/>
        <v>181208</v>
      </c>
      <c r="AO16" s="215">
        <f t="shared" ref="AO16" si="1">SUM(AO9:AO15)</f>
        <v>150399</v>
      </c>
      <c r="AP16" s="171"/>
    </row>
    <row r="17" spans="1:42" s="209" customFormat="1">
      <c r="A17" s="212" t="s">
        <v>52</v>
      </c>
      <c r="B17" s="207"/>
      <c r="C17" s="168"/>
      <c r="D17" s="171">
        <v>132986</v>
      </c>
      <c r="E17" s="201">
        <v>132908</v>
      </c>
      <c r="F17" s="171">
        <v>132870</v>
      </c>
      <c r="G17" s="171">
        <v>135585</v>
      </c>
      <c r="H17" s="171">
        <v>131156</v>
      </c>
      <c r="I17" s="201">
        <v>132986</v>
      </c>
      <c r="J17" s="171">
        <v>129621</v>
      </c>
      <c r="K17" s="171">
        <v>125018</v>
      </c>
      <c r="L17" s="171">
        <v>119469</v>
      </c>
      <c r="M17" s="213"/>
      <c r="N17" s="168"/>
      <c r="O17" s="171">
        <v>133617</v>
      </c>
      <c r="P17" s="201">
        <v>132908</v>
      </c>
      <c r="Q17" s="171">
        <v>132870</v>
      </c>
      <c r="R17" s="171">
        <v>135585</v>
      </c>
      <c r="S17" s="171">
        <v>131156</v>
      </c>
      <c r="T17" s="201">
        <v>132986</v>
      </c>
      <c r="U17" s="171">
        <v>129621</v>
      </c>
      <c r="V17" s="171">
        <v>125018</v>
      </c>
      <c r="W17" s="171">
        <v>119469</v>
      </c>
      <c r="X17" s="201">
        <v>113637</v>
      </c>
      <c r="Y17" s="171">
        <v>107586</v>
      </c>
      <c r="Z17" s="171">
        <v>100878</v>
      </c>
      <c r="AA17" s="171">
        <v>91846</v>
      </c>
      <c r="AB17" s="201">
        <v>87851</v>
      </c>
      <c r="AC17" s="171">
        <v>81862</v>
      </c>
      <c r="AD17" s="171">
        <v>76520</v>
      </c>
      <c r="AE17" s="171">
        <v>74653</v>
      </c>
      <c r="AF17" s="201">
        <v>73449</v>
      </c>
      <c r="AG17" s="171">
        <v>74726</v>
      </c>
      <c r="AH17" s="171">
        <v>70486</v>
      </c>
      <c r="AI17" s="171">
        <v>68788</v>
      </c>
      <c r="AJ17" s="201">
        <v>71694</v>
      </c>
      <c r="AK17" s="171">
        <v>68518</v>
      </c>
      <c r="AL17" s="171">
        <v>62972</v>
      </c>
      <c r="AM17" s="213">
        <v>59604</v>
      </c>
      <c r="AN17" s="201">
        <v>58366</v>
      </c>
      <c r="AO17" s="171">
        <v>55428</v>
      </c>
      <c r="AP17" s="171"/>
    </row>
    <row r="18" spans="1:42" s="209" customFormat="1">
      <c r="A18" s="212" t="s">
        <v>53</v>
      </c>
      <c r="B18" s="207"/>
      <c r="C18" s="168"/>
      <c r="D18" s="171">
        <v>0</v>
      </c>
      <c r="E18" s="201">
        <v>0</v>
      </c>
      <c r="F18" s="171">
        <v>0</v>
      </c>
      <c r="G18" s="171">
        <v>0</v>
      </c>
      <c r="H18" s="171">
        <v>0</v>
      </c>
      <c r="I18" s="201">
        <v>0</v>
      </c>
      <c r="J18" s="171">
        <v>100727</v>
      </c>
      <c r="K18" s="171">
        <v>96498</v>
      </c>
      <c r="L18" s="171">
        <v>93352</v>
      </c>
      <c r="M18" s="213"/>
      <c r="N18" s="168"/>
      <c r="O18" s="171">
        <v>0</v>
      </c>
      <c r="P18" s="201">
        <v>0</v>
      </c>
      <c r="Q18" s="171">
        <v>0</v>
      </c>
      <c r="R18" s="171">
        <v>0</v>
      </c>
      <c r="S18" s="171">
        <v>0</v>
      </c>
      <c r="T18" s="201">
        <v>0</v>
      </c>
      <c r="U18" s="171">
        <v>100727</v>
      </c>
      <c r="V18" s="171">
        <v>96498</v>
      </c>
      <c r="W18" s="171">
        <v>93352</v>
      </c>
      <c r="X18" s="201">
        <v>93627</v>
      </c>
      <c r="Y18" s="171">
        <v>85983</v>
      </c>
      <c r="Z18" s="171">
        <v>90067</v>
      </c>
      <c r="AA18" s="171">
        <v>67522</v>
      </c>
      <c r="AB18" s="201">
        <v>68861</v>
      </c>
      <c r="AC18" s="171">
        <v>66743</v>
      </c>
      <c r="AD18" s="171">
        <v>63529</v>
      </c>
      <c r="AE18" s="171">
        <v>59909</v>
      </c>
      <c r="AF18" s="201">
        <v>53937</v>
      </c>
      <c r="AG18" s="171">
        <v>51326</v>
      </c>
      <c r="AH18" s="171">
        <v>49124</v>
      </c>
      <c r="AI18" s="171">
        <v>44943</v>
      </c>
      <c r="AJ18" s="201">
        <v>40734</v>
      </c>
      <c r="AK18" s="171">
        <v>40109</v>
      </c>
      <c r="AL18" s="171">
        <v>37400</v>
      </c>
      <c r="AM18" s="213">
        <v>38557</v>
      </c>
      <c r="AN18" s="201">
        <v>33874</v>
      </c>
      <c r="AO18" s="171">
        <v>31688</v>
      </c>
      <c r="AP18" s="171"/>
    </row>
    <row r="19" spans="1:42" s="209" customFormat="1">
      <c r="A19" s="212" t="s">
        <v>54</v>
      </c>
      <c r="B19" s="207"/>
      <c r="C19" s="168"/>
      <c r="D19" s="171">
        <v>708258</v>
      </c>
      <c r="E19" s="201">
        <v>747325</v>
      </c>
      <c r="F19" s="171">
        <v>747325</v>
      </c>
      <c r="G19" s="171">
        <v>748708</v>
      </c>
      <c r="H19" s="171">
        <v>749762</v>
      </c>
      <c r="I19" s="201">
        <v>708258</v>
      </c>
      <c r="J19" s="171">
        <v>708285</v>
      </c>
      <c r="K19" s="171">
        <v>708246</v>
      </c>
      <c r="L19" s="171">
        <v>609458</v>
      </c>
      <c r="M19" s="213"/>
      <c r="N19" s="168"/>
      <c r="O19" s="171">
        <v>776010</v>
      </c>
      <c r="P19" s="201">
        <v>747325</v>
      </c>
      <c r="Q19" s="171">
        <v>747325</v>
      </c>
      <c r="R19" s="171">
        <v>748708</v>
      </c>
      <c r="S19" s="171">
        <v>749762</v>
      </c>
      <c r="T19" s="201">
        <v>708258</v>
      </c>
      <c r="U19" s="171">
        <v>708285</v>
      </c>
      <c r="V19" s="171">
        <v>708246</v>
      </c>
      <c r="W19" s="171">
        <v>611982</v>
      </c>
      <c r="X19" s="201">
        <v>359771</v>
      </c>
      <c r="Y19" s="171">
        <v>358880</v>
      </c>
      <c r="Z19" s="171">
        <v>359009</v>
      </c>
      <c r="AA19" s="171">
        <v>359270</v>
      </c>
      <c r="AB19" s="201">
        <v>359781</v>
      </c>
      <c r="AC19" s="171">
        <v>359309</v>
      </c>
      <c r="AD19" s="171">
        <v>358561</v>
      </c>
      <c r="AE19" s="171">
        <v>358431</v>
      </c>
      <c r="AF19" s="201">
        <v>358323</v>
      </c>
      <c r="AG19" s="171">
        <v>358211</v>
      </c>
      <c r="AH19" s="171">
        <v>358172</v>
      </c>
      <c r="AI19" s="171">
        <v>328071</v>
      </c>
      <c r="AJ19" s="201">
        <v>186802</v>
      </c>
      <c r="AK19" s="171">
        <v>186877</v>
      </c>
      <c r="AL19" s="171">
        <v>170391</v>
      </c>
      <c r="AM19" s="213">
        <v>170262</v>
      </c>
      <c r="AN19" s="201">
        <v>170452</v>
      </c>
      <c r="AO19" s="171">
        <v>170355</v>
      </c>
      <c r="AP19" s="171"/>
    </row>
    <row r="20" spans="1:42" s="209" customFormat="1">
      <c r="A20" s="212" t="s">
        <v>55</v>
      </c>
      <c r="B20" s="207"/>
      <c r="C20" s="168"/>
      <c r="D20" s="171">
        <v>407021</v>
      </c>
      <c r="E20" s="201">
        <v>464984</v>
      </c>
      <c r="F20" s="171">
        <v>438929</v>
      </c>
      <c r="G20" s="171">
        <v>419725</v>
      </c>
      <c r="H20" s="171">
        <v>398280</v>
      </c>
      <c r="I20" s="201">
        <v>407021</v>
      </c>
      <c r="J20" s="171">
        <v>397412</v>
      </c>
      <c r="K20" s="171">
        <v>387775</v>
      </c>
      <c r="L20" s="171">
        <v>374445</v>
      </c>
      <c r="M20" s="213"/>
      <c r="N20" s="168"/>
      <c r="O20" s="171">
        <v>514873</v>
      </c>
      <c r="P20" s="201">
        <v>463222</v>
      </c>
      <c r="Q20" s="171">
        <v>424251</v>
      </c>
      <c r="R20" s="171">
        <v>405457</v>
      </c>
      <c r="S20" s="171">
        <v>384895</v>
      </c>
      <c r="T20" s="201">
        <v>395020</v>
      </c>
      <c r="U20" s="171">
        <v>383680</v>
      </c>
      <c r="V20" s="171">
        <v>372004</v>
      </c>
      <c r="W20" s="171">
        <v>357114</v>
      </c>
      <c r="X20" s="201">
        <v>342443</v>
      </c>
      <c r="Y20" s="171">
        <v>329837</v>
      </c>
      <c r="Z20" s="171">
        <v>317630</v>
      </c>
      <c r="AA20" s="171">
        <v>304958</v>
      </c>
      <c r="AB20" s="201">
        <v>292664</v>
      </c>
      <c r="AC20" s="171">
        <v>280891</v>
      </c>
      <c r="AD20" s="171">
        <v>268525</v>
      </c>
      <c r="AE20" s="171">
        <v>255998</v>
      </c>
      <c r="AF20" s="201">
        <v>244539</v>
      </c>
      <c r="AG20" s="171">
        <v>233695</v>
      </c>
      <c r="AH20" s="171">
        <v>222634</v>
      </c>
      <c r="AI20" s="171">
        <v>211659</v>
      </c>
      <c r="AJ20" s="201">
        <v>200982</v>
      </c>
      <c r="AK20" s="171">
        <v>191121</v>
      </c>
      <c r="AL20" s="171">
        <v>182350</v>
      </c>
      <c r="AM20" s="213">
        <v>173931</v>
      </c>
      <c r="AN20" s="201">
        <v>164920</v>
      </c>
      <c r="AO20" s="171">
        <v>157078</v>
      </c>
      <c r="AP20" s="171"/>
    </row>
    <row r="21" spans="1:42" s="209" customFormat="1">
      <c r="A21" s="212" t="s">
        <v>56</v>
      </c>
      <c r="B21" s="207"/>
      <c r="C21" s="168"/>
      <c r="D21" s="171">
        <v>15884</v>
      </c>
      <c r="E21" s="201">
        <v>9019</v>
      </c>
      <c r="F21" s="171">
        <v>9171</v>
      </c>
      <c r="G21" s="171">
        <v>15280</v>
      </c>
      <c r="H21" s="171">
        <v>14810</v>
      </c>
      <c r="I21" s="201">
        <v>16225</v>
      </c>
      <c r="J21" s="171">
        <v>16202</v>
      </c>
      <c r="K21" s="171">
        <v>16181</v>
      </c>
      <c r="L21" s="171">
        <v>15830</v>
      </c>
      <c r="M21" s="213"/>
      <c r="N21" s="168"/>
      <c r="O21" s="171">
        <v>7880</v>
      </c>
      <c r="P21" s="201">
        <v>9815</v>
      </c>
      <c r="Q21" s="171">
        <v>9967</v>
      </c>
      <c r="R21" s="171">
        <v>16076</v>
      </c>
      <c r="S21" s="171">
        <v>15606</v>
      </c>
      <c r="T21" s="201">
        <v>16345</v>
      </c>
      <c r="U21" s="171">
        <v>16322</v>
      </c>
      <c r="V21" s="171">
        <v>16301</v>
      </c>
      <c r="W21" s="171">
        <v>15950</v>
      </c>
      <c r="X21" s="201">
        <v>12032</v>
      </c>
      <c r="Y21" s="171">
        <v>11661</v>
      </c>
      <c r="Z21" s="171">
        <v>11769</v>
      </c>
      <c r="AA21" s="171">
        <v>12192</v>
      </c>
      <c r="AB21" s="201">
        <v>6606</v>
      </c>
      <c r="AC21" s="171">
        <v>6370</v>
      </c>
      <c r="AD21" s="171">
        <v>6643</v>
      </c>
      <c r="AE21" s="171">
        <v>6243</v>
      </c>
      <c r="AF21" s="201">
        <v>2109</v>
      </c>
      <c r="AG21" s="171">
        <v>1986</v>
      </c>
      <c r="AH21" s="171">
        <v>1629</v>
      </c>
      <c r="AI21" s="171">
        <v>1279</v>
      </c>
      <c r="AJ21" s="201">
        <v>1483</v>
      </c>
      <c r="AK21" s="171">
        <v>1578</v>
      </c>
      <c r="AL21" s="171">
        <v>1584</v>
      </c>
      <c r="AM21" s="213">
        <v>1417</v>
      </c>
      <c r="AN21" s="201">
        <v>3043</v>
      </c>
      <c r="AO21" s="171">
        <v>2913</v>
      </c>
      <c r="AP21" s="171"/>
    </row>
    <row r="22" spans="1:42" s="209" customFormat="1">
      <c r="A22" s="212" t="s">
        <v>57</v>
      </c>
      <c r="B22" s="207"/>
      <c r="C22" s="168"/>
      <c r="D22" s="171">
        <v>19391</v>
      </c>
      <c r="E22" s="201">
        <v>12891</v>
      </c>
      <c r="F22" s="171">
        <v>18490</v>
      </c>
      <c r="G22" s="171">
        <v>21276</v>
      </c>
      <c r="H22" s="171">
        <v>21650</v>
      </c>
      <c r="I22" s="201">
        <v>19391</v>
      </c>
      <c r="J22" s="171">
        <v>17667</v>
      </c>
      <c r="K22" s="171">
        <v>14714</v>
      </c>
      <c r="L22" s="171">
        <v>13557</v>
      </c>
      <c r="M22" s="213"/>
      <c r="N22" s="168"/>
      <c r="O22" s="171">
        <f>15573-1</f>
        <v>15572</v>
      </c>
      <c r="P22" s="201">
        <f>14653-4</f>
        <v>14649</v>
      </c>
      <c r="Q22" s="171">
        <v>18490</v>
      </c>
      <c r="R22" s="171">
        <v>21276</v>
      </c>
      <c r="S22" s="171">
        <v>21650</v>
      </c>
      <c r="T22" s="201">
        <v>19391</v>
      </c>
      <c r="U22" s="171">
        <v>17667</v>
      </c>
      <c r="V22" s="171">
        <v>14714</v>
      </c>
      <c r="W22" s="171">
        <v>13557</v>
      </c>
      <c r="X22" s="201">
        <v>17889</v>
      </c>
      <c r="Y22" s="171">
        <v>20293</v>
      </c>
      <c r="Z22" s="171">
        <v>25961</v>
      </c>
      <c r="AA22" s="171">
        <v>24907</v>
      </c>
      <c r="AB22" s="201">
        <v>18723</v>
      </c>
      <c r="AC22" s="171">
        <v>20756</v>
      </c>
      <c r="AD22" s="171">
        <v>25420</v>
      </c>
      <c r="AE22" s="171">
        <v>24122</v>
      </c>
      <c r="AF22" s="201">
        <v>24775</v>
      </c>
      <c r="AG22" s="171">
        <v>28916</v>
      </c>
      <c r="AH22" s="171">
        <v>26273</v>
      </c>
      <c r="AI22" s="171">
        <v>25839</v>
      </c>
      <c r="AJ22" s="201">
        <v>29721</v>
      </c>
      <c r="AK22" s="171">
        <v>29084</v>
      </c>
      <c r="AL22" s="171">
        <v>26785</v>
      </c>
      <c r="AM22" s="213">
        <v>26509</v>
      </c>
      <c r="AN22" s="201">
        <v>24474</v>
      </c>
      <c r="AO22" s="171">
        <v>23943</v>
      </c>
      <c r="AP22" s="171"/>
    </row>
    <row r="23" spans="1:42" s="209" customFormat="1" ht="14.4" thickBot="1">
      <c r="A23" s="214" t="s">
        <v>58</v>
      </c>
      <c r="B23" s="207"/>
      <c r="C23" s="168" t="s">
        <v>45</v>
      </c>
      <c r="D23" s="185">
        <v>1641404</v>
      </c>
      <c r="E23" s="205">
        <v>1714838</v>
      </c>
      <c r="F23" s="185">
        <v>1665935</v>
      </c>
      <c r="G23" s="185">
        <v>1728901</v>
      </c>
      <c r="H23" s="185">
        <v>1662346</v>
      </c>
      <c r="I23" s="205">
        <v>1639782</v>
      </c>
      <c r="J23" s="185">
        <v>1702889</v>
      </c>
      <c r="K23" s="185">
        <v>1679250</v>
      </c>
      <c r="L23" s="185">
        <v>1541507</v>
      </c>
      <c r="M23" s="213"/>
      <c r="N23" s="168" t="s">
        <v>45</v>
      </c>
      <c r="O23" s="185">
        <f>SUM(O16:O22)</f>
        <v>1778235</v>
      </c>
      <c r="P23" s="205">
        <f>SUM(P16:P22)</f>
        <v>1717230</v>
      </c>
      <c r="Q23" s="185">
        <v>1652053</v>
      </c>
      <c r="R23" s="185">
        <v>1715429</v>
      </c>
      <c r="S23" s="185">
        <v>1649757</v>
      </c>
      <c r="T23" s="205">
        <v>1627823</v>
      </c>
      <c r="U23" s="185">
        <v>1689199</v>
      </c>
      <c r="V23" s="185">
        <v>1663521</v>
      </c>
      <c r="W23" s="185">
        <v>1526742</v>
      </c>
      <c r="X23" s="205">
        <v>1258324</v>
      </c>
      <c r="Y23" s="185">
        <v>1328063</v>
      </c>
      <c r="Z23" s="185">
        <v>1268543</v>
      </c>
      <c r="AA23" s="185">
        <v>1170425</v>
      </c>
      <c r="AB23" s="205">
        <v>1157779</v>
      </c>
      <c r="AC23" s="185">
        <v>1104722</v>
      </c>
      <c r="AD23" s="185">
        <v>1090655</v>
      </c>
      <c r="AE23" s="185">
        <v>1180948</v>
      </c>
      <c r="AF23" s="205">
        <v>1037023</v>
      </c>
      <c r="AG23" s="185">
        <v>1071403</v>
      </c>
      <c r="AH23" s="185">
        <v>967570</v>
      </c>
      <c r="AI23" s="185">
        <v>865271</v>
      </c>
      <c r="AJ23" s="205">
        <v>721912</v>
      </c>
      <c r="AK23" s="185">
        <v>713102</v>
      </c>
      <c r="AL23" s="185">
        <f>SUM(AL16:AL22)</f>
        <v>675343</v>
      </c>
      <c r="AM23" s="185">
        <f>SUM(AM16:AM22)</f>
        <v>645373</v>
      </c>
      <c r="AN23" s="205">
        <f>SUM(AN16:AN22)</f>
        <v>636337</v>
      </c>
      <c r="AO23" s="185">
        <f>SUM(AO16:AO22)</f>
        <v>591804</v>
      </c>
    </row>
    <row r="24" spans="1:42" s="209" customFormat="1" ht="14.4" thickTop="1">
      <c r="A24" s="212" t="s">
        <v>59</v>
      </c>
      <c r="B24" s="207"/>
      <c r="C24" s="168"/>
      <c r="D24" s="171"/>
      <c r="E24" s="201"/>
      <c r="F24" s="171"/>
      <c r="G24" s="171"/>
      <c r="H24" s="171"/>
      <c r="I24" s="201"/>
      <c r="J24" s="171"/>
      <c r="K24" s="171"/>
      <c r="L24" s="171"/>
      <c r="M24" s="213"/>
      <c r="N24" s="168"/>
      <c r="O24" s="171"/>
      <c r="P24" s="201"/>
      <c r="Q24" s="171"/>
      <c r="R24" s="171"/>
      <c r="S24" s="171"/>
      <c r="T24" s="201"/>
      <c r="U24" s="171"/>
      <c r="V24" s="171"/>
      <c r="W24" s="171"/>
      <c r="X24" s="201"/>
      <c r="Y24" s="171"/>
      <c r="Z24" s="171"/>
      <c r="AA24" s="171"/>
      <c r="AB24" s="201"/>
      <c r="AC24" s="171"/>
      <c r="AD24" s="171"/>
      <c r="AE24" s="171"/>
      <c r="AF24" s="201"/>
      <c r="AG24" s="171"/>
      <c r="AH24" s="171"/>
      <c r="AI24" s="171"/>
      <c r="AJ24" s="201"/>
      <c r="AK24" s="171"/>
      <c r="AL24" s="171"/>
      <c r="AM24" s="213"/>
      <c r="AN24" s="201"/>
      <c r="AO24" s="171"/>
    </row>
    <row r="25" spans="1:42" s="209" customFormat="1">
      <c r="A25" s="211" t="s">
        <v>60</v>
      </c>
      <c r="B25" s="207"/>
      <c r="C25" s="168"/>
      <c r="D25" s="171"/>
      <c r="E25" s="201"/>
      <c r="F25" s="171"/>
      <c r="G25" s="171"/>
      <c r="H25" s="171"/>
      <c r="I25" s="201"/>
      <c r="J25" s="171"/>
      <c r="K25" s="171"/>
      <c r="L25" s="171"/>
      <c r="N25" s="168"/>
      <c r="O25" s="171"/>
      <c r="P25" s="201"/>
      <c r="Q25" s="171"/>
      <c r="R25" s="171"/>
      <c r="S25" s="171"/>
      <c r="T25" s="201"/>
      <c r="U25" s="171"/>
      <c r="V25" s="171"/>
      <c r="W25" s="171"/>
      <c r="X25" s="201"/>
      <c r="Y25" s="171"/>
      <c r="Z25" s="171"/>
      <c r="AA25" s="171"/>
      <c r="AB25" s="201"/>
      <c r="AC25" s="171"/>
      <c r="AD25" s="171"/>
      <c r="AE25" s="171"/>
      <c r="AF25" s="201"/>
      <c r="AG25" s="171"/>
      <c r="AH25" s="171"/>
      <c r="AI25" s="171"/>
      <c r="AJ25" s="201"/>
      <c r="AK25" s="171"/>
      <c r="AL25" s="171"/>
      <c r="AN25" s="201"/>
      <c r="AO25" s="171"/>
    </row>
    <row r="26" spans="1:42" s="209" customFormat="1">
      <c r="A26" s="212" t="s">
        <v>61</v>
      </c>
      <c r="B26" s="207"/>
      <c r="C26" s="207" t="s">
        <v>45</v>
      </c>
      <c r="D26" s="171">
        <v>99853</v>
      </c>
      <c r="E26" s="201">
        <v>81263</v>
      </c>
      <c r="F26" s="171">
        <v>77194</v>
      </c>
      <c r="G26" s="171">
        <v>86304</v>
      </c>
      <c r="H26" s="171">
        <v>90673</v>
      </c>
      <c r="I26" s="201">
        <v>99853</v>
      </c>
      <c r="J26" s="171">
        <v>90924</v>
      </c>
      <c r="K26" s="171">
        <v>99089</v>
      </c>
      <c r="L26" s="171">
        <v>93815</v>
      </c>
      <c r="M26" s="213"/>
      <c r="N26" s="168" t="s">
        <v>45</v>
      </c>
      <c r="O26" s="171">
        <v>82676</v>
      </c>
      <c r="P26" s="201">
        <v>81263</v>
      </c>
      <c r="Q26" s="171">
        <v>77194</v>
      </c>
      <c r="R26" s="171">
        <v>86304</v>
      </c>
      <c r="S26" s="171">
        <v>90673</v>
      </c>
      <c r="T26" s="201">
        <v>99853</v>
      </c>
      <c r="U26" s="171">
        <v>90924</v>
      </c>
      <c r="V26" s="171">
        <v>99089</v>
      </c>
      <c r="W26" s="171">
        <v>93815</v>
      </c>
      <c r="X26" s="201">
        <v>86167</v>
      </c>
      <c r="Y26" s="171">
        <v>74093</v>
      </c>
      <c r="Z26" s="171">
        <v>67385</v>
      </c>
      <c r="AA26" s="171">
        <v>61788</v>
      </c>
      <c r="AB26" s="201">
        <v>76027</v>
      </c>
      <c r="AC26" s="171">
        <v>73666</v>
      </c>
      <c r="AD26" s="171">
        <v>65801</v>
      </c>
      <c r="AE26" s="171">
        <v>59266</v>
      </c>
      <c r="AF26" s="201">
        <v>61744</v>
      </c>
      <c r="AG26" s="171">
        <v>63953</v>
      </c>
      <c r="AH26" s="171">
        <v>70093</v>
      </c>
      <c r="AI26" s="171">
        <v>80783</v>
      </c>
      <c r="AJ26" s="201">
        <v>79249</v>
      </c>
      <c r="AK26" s="171">
        <v>72047</v>
      </c>
      <c r="AL26" s="171">
        <v>64105</v>
      </c>
      <c r="AM26" s="213">
        <v>73742</v>
      </c>
      <c r="AN26" s="201">
        <v>61109</v>
      </c>
      <c r="AO26" s="171">
        <v>66375</v>
      </c>
    </row>
    <row r="27" spans="1:42" s="209" customFormat="1">
      <c r="A27" s="212" t="s">
        <v>62</v>
      </c>
      <c r="B27" s="207"/>
      <c r="C27" s="168"/>
      <c r="D27" s="171">
        <v>7735</v>
      </c>
      <c r="E27" s="201">
        <v>14445</v>
      </c>
      <c r="F27" s="171">
        <v>14172</v>
      </c>
      <c r="G27" s="171">
        <v>11987</v>
      </c>
      <c r="H27" s="171">
        <v>10756</v>
      </c>
      <c r="I27" s="201">
        <v>7735</v>
      </c>
      <c r="J27" s="171">
        <v>6184</v>
      </c>
      <c r="K27" s="171">
        <v>238</v>
      </c>
      <c r="L27" s="171">
        <v>274</v>
      </c>
      <c r="M27" s="213"/>
      <c r="N27" s="168"/>
      <c r="O27" s="171">
        <v>14474</v>
      </c>
      <c r="P27" s="201">
        <v>14445</v>
      </c>
      <c r="Q27" s="171">
        <v>14172</v>
      </c>
      <c r="R27" s="171">
        <v>17023</v>
      </c>
      <c r="S27" s="171">
        <v>15792</v>
      </c>
      <c r="T27" s="201">
        <v>15363</v>
      </c>
      <c r="U27" s="171">
        <v>13812</v>
      </c>
      <c r="V27" s="171">
        <v>11671</v>
      </c>
      <c r="W27" s="171">
        <v>10207</v>
      </c>
      <c r="X27" s="201">
        <v>1740</v>
      </c>
      <c r="Y27" s="171">
        <v>1323</v>
      </c>
      <c r="Z27" s="171">
        <v>2</v>
      </c>
      <c r="AA27" s="171">
        <v>162</v>
      </c>
      <c r="AB27" s="201">
        <v>97</v>
      </c>
      <c r="AC27" s="171">
        <v>124</v>
      </c>
      <c r="AD27" s="171">
        <v>489</v>
      </c>
      <c r="AE27" s="171">
        <v>715</v>
      </c>
      <c r="AF27" s="201">
        <v>1484</v>
      </c>
      <c r="AG27" s="171">
        <v>1475</v>
      </c>
      <c r="AH27" s="171">
        <v>1460</v>
      </c>
      <c r="AI27" s="171">
        <v>1698</v>
      </c>
      <c r="AJ27" s="201">
        <v>2473</v>
      </c>
      <c r="AK27" s="171">
        <v>2548</v>
      </c>
      <c r="AL27" s="171">
        <v>1773</v>
      </c>
      <c r="AM27" s="213">
        <v>2499</v>
      </c>
      <c r="AN27" s="201">
        <v>1938</v>
      </c>
      <c r="AO27" s="171">
        <v>2463</v>
      </c>
      <c r="AP27" s="265"/>
    </row>
    <row r="28" spans="1:42" s="209" customFormat="1">
      <c r="A28" s="212" t="s">
        <v>63</v>
      </c>
      <c r="B28" s="207"/>
      <c r="C28" s="207"/>
      <c r="D28" s="171">
        <v>3633</v>
      </c>
      <c r="E28" s="201">
        <v>3612</v>
      </c>
      <c r="F28" s="171">
        <v>6967</v>
      </c>
      <c r="G28" s="171">
        <v>5385</v>
      </c>
      <c r="H28" s="171">
        <v>5422</v>
      </c>
      <c r="I28" s="201">
        <v>1996</v>
      </c>
      <c r="J28" s="171">
        <v>4898</v>
      </c>
      <c r="K28" s="171">
        <v>2525</v>
      </c>
      <c r="L28" s="171" t="s">
        <v>64</v>
      </c>
      <c r="N28" s="207"/>
      <c r="O28" s="171">
        <v>770</v>
      </c>
      <c r="P28" s="201">
        <v>3612</v>
      </c>
      <c r="Q28" s="171">
        <v>6967</v>
      </c>
      <c r="R28" s="171">
        <v>5385</v>
      </c>
      <c r="S28" s="171">
        <v>5422</v>
      </c>
      <c r="T28" s="201">
        <v>1996</v>
      </c>
      <c r="U28" s="171">
        <v>4898</v>
      </c>
      <c r="V28" s="171">
        <v>2525</v>
      </c>
      <c r="W28" s="171">
        <v>0</v>
      </c>
      <c r="X28" s="201">
        <v>352</v>
      </c>
      <c r="Y28" s="171">
        <v>2532</v>
      </c>
      <c r="Z28" s="171">
        <v>2333</v>
      </c>
      <c r="AA28" s="171">
        <v>1695</v>
      </c>
      <c r="AB28" s="201">
        <v>2466</v>
      </c>
      <c r="AC28" s="171">
        <v>1531</v>
      </c>
      <c r="AD28" s="171">
        <v>1654</v>
      </c>
      <c r="AE28" s="171">
        <v>3222</v>
      </c>
      <c r="AF28" s="201">
        <v>3551</v>
      </c>
      <c r="AG28" s="171">
        <v>4447</v>
      </c>
      <c r="AH28" s="171">
        <v>2273</v>
      </c>
      <c r="AI28" s="171">
        <v>1178</v>
      </c>
      <c r="AJ28" s="201">
        <v>2045</v>
      </c>
      <c r="AK28" s="171">
        <v>421</v>
      </c>
      <c r="AL28" s="171" t="s">
        <v>126</v>
      </c>
      <c r="AM28" s="259">
        <v>0</v>
      </c>
      <c r="AN28" s="201">
        <v>2080</v>
      </c>
      <c r="AO28" s="171">
        <v>2352</v>
      </c>
    </row>
    <row r="29" spans="1:42" s="209" customFormat="1">
      <c r="A29" s="212" t="s">
        <v>65</v>
      </c>
      <c r="B29" s="207"/>
      <c r="C29" s="168"/>
      <c r="D29" s="171">
        <v>66008</v>
      </c>
      <c r="E29" s="201">
        <v>49384</v>
      </c>
      <c r="F29" s="171">
        <v>31805</v>
      </c>
      <c r="G29" s="171">
        <v>40737</v>
      </c>
      <c r="H29" s="171">
        <v>41397</v>
      </c>
      <c r="I29" s="201">
        <v>66008</v>
      </c>
      <c r="J29" s="171">
        <v>63138</v>
      </c>
      <c r="K29" s="171">
        <v>59487</v>
      </c>
      <c r="L29" s="171">
        <v>60994</v>
      </c>
      <c r="N29" s="168"/>
      <c r="O29" s="171">
        <v>81966</v>
      </c>
      <c r="P29" s="201">
        <v>87133</v>
      </c>
      <c r="Q29" s="171">
        <v>70217</v>
      </c>
      <c r="R29" s="171">
        <v>79851</v>
      </c>
      <c r="S29" s="171">
        <v>81259</v>
      </c>
      <c r="T29" s="201">
        <v>107355</v>
      </c>
      <c r="U29" s="171">
        <v>105018</v>
      </c>
      <c r="V29" s="171">
        <v>102265</v>
      </c>
      <c r="W29" s="171">
        <v>104097</v>
      </c>
      <c r="X29" s="201">
        <v>121553</v>
      </c>
      <c r="Y29" s="171">
        <v>116557</v>
      </c>
      <c r="Z29" s="171">
        <v>116376</v>
      </c>
      <c r="AA29" s="171">
        <v>109336</v>
      </c>
      <c r="AB29" s="201">
        <v>126399</v>
      </c>
      <c r="AC29" s="171">
        <v>122080</v>
      </c>
      <c r="AD29" s="171">
        <v>111713</v>
      </c>
      <c r="AE29" s="171">
        <v>109109</v>
      </c>
      <c r="AF29" s="201">
        <v>113519</v>
      </c>
      <c r="AG29" s="171">
        <v>95106</v>
      </c>
      <c r="AH29" s="171">
        <v>96341</v>
      </c>
      <c r="AI29" s="171">
        <v>52795</v>
      </c>
      <c r="AJ29" s="201">
        <v>61340</v>
      </c>
      <c r="AK29" s="171">
        <v>63459</v>
      </c>
      <c r="AL29" s="171">
        <v>69324</v>
      </c>
      <c r="AM29" s="171">
        <v>61447</v>
      </c>
      <c r="AN29" s="201">
        <v>63699</v>
      </c>
      <c r="AO29" s="171">
        <v>63404</v>
      </c>
      <c r="AP29" s="265"/>
    </row>
    <row r="30" spans="1:42" s="209" customFormat="1">
      <c r="A30" s="212" t="s">
        <v>66</v>
      </c>
      <c r="B30" s="207"/>
      <c r="C30" s="207"/>
      <c r="D30" s="171">
        <v>54583</v>
      </c>
      <c r="E30" s="201">
        <v>46925</v>
      </c>
      <c r="F30" s="171">
        <v>49738</v>
      </c>
      <c r="G30" s="171">
        <v>50905</v>
      </c>
      <c r="H30" s="171">
        <v>54975</v>
      </c>
      <c r="I30" s="201">
        <v>54583</v>
      </c>
      <c r="J30" s="171">
        <v>57961</v>
      </c>
      <c r="K30" s="171">
        <v>52493</v>
      </c>
      <c r="L30" s="171">
        <v>51819</v>
      </c>
      <c r="M30" s="213"/>
      <c r="N30" s="207"/>
      <c r="O30" s="171">
        <v>52955</v>
      </c>
      <c r="P30" s="201">
        <v>46925</v>
      </c>
      <c r="Q30" s="171">
        <v>47279</v>
      </c>
      <c r="R30" s="171">
        <v>48409</v>
      </c>
      <c r="S30" s="171">
        <v>52464</v>
      </c>
      <c r="T30" s="201">
        <v>52211</v>
      </c>
      <c r="U30" s="171">
        <v>55745</v>
      </c>
      <c r="V30" s="171">
        <v>50218</v>
      </c>
      <c r="W30" s="171">
        <v>49636</v>
      </c>
      <c r="X30" s="201">
        <v>48574</v>
      </c>
      <c r="Y30" s="171">
        <v>54034</v>
      </c>
      <c r="Z30" s="171">
        <v>52636</v>
      </c>
      <c r="AA30" s="171">
        <v>53904</v>
      </c>
      <c r="AB30" s="201">
        <v>63467</v>
      </c>
      <c r="AC30" s="171">
        <v>62392</v>
      </c>
      <c r="AD30" s="171">
        <v>63417</v>
      </c>
      <c r="AE30" s="171">
        <v>58041</v>
      </c>
      <c r="AF30" s="201">
        <v>60860</v>
      </c>
      <c r="AG30" s="171">
        <v>57164</v>
      </c>
      <c r="AH30" s="171">
        <v>54618</v>
      </c>
      <c r="AI30" s="171">
        <v>52925</v>
      </c>
      <c r="AJ30" s="201">
        <v>54143</v>
      </c>
      <c r="AK30" s="171">
        <v>51134</v>
      </c>
      <c r="AL30" s="171">
        <v>50691</v>
      </c>
      <c r="AM30" s="213">
        <v>53399</v>
      </c>
      <c r="AN30" s="201">
        <v>65012</v>
      </c>
      <c r="AO30" s="171">
        <v>74927</v>
      </c>
      <c r="AP30" s="265"/>
    </row>
    <row r="31" spans="1:42" s="209" customFormat="1">
      <c r="A31" s="212" t="s">
        <v>67</v>
      </c>
      <c r="B31" s="207"/>
      <c r="C31" s="207"/>
      <c r="D31" s="171">
        <v>49071</v>
      </c>
      <c r="E31" s="201">
        <v>55101</v>
      </c>
      <c r="F31" s="171">
        <v>23795</v>
      </c>
      <c r="G31" s="171">
        <v>48885</v>
      </c>
      <c r="H31" s="171">
        <v>23845</v>
      </c>
      <c r="I31" s="201">
        <v>49071</v>
      </c>
      <c r="J31" s="171">
        <v>23928</v>
      </c>
      <c r="K31" s="171">
        <v>48935</v>
      </c>
      <c r="L31" s="171">
        <v>24602</v>
      </c>
      <c r="M31" s="213"/>
      <c r="N31" s="207"/>
      <c r="O31" s="171">
        <v>30405</v>
      </c>
      <c r="P31" s="201">
        <v>55102</v>
      </c>
      <c r="Q31" s="171">
        <v>23795</v>
      </c>
      <c r="R31" s="171">
        <v>48885</v>
      </c>
      <c r="S31" s="171">
        <v>23845</v>
      </c>
      <c r="T31" s="201">
        <v>49071</v>
      </c>
      <c r="U31" s="171">
        <v>23928</v>
      </c>
      <c r="V31" s="171">
        <v>48935</v>
      </c>
      <c r="W31" s="171">
        <v>24602</v>
      </c>
      <c r="X31" s="201">
        <v>48769</v>
      </c>
      <c r="Y31" s="171">
        <v>23786</v>
      </c>
      <c r="Z31" s="171">
        <v>48127</v>
      </c>
      <c r="AA31" s="171">
        <v>23274</v>
      </c>
      <c r="AB31" s="201">
        <v>48769</v>
      </c>
      <c r="AC31" s="171">
        <v>24059</v>
      </c>
      <c r="AD31" s="171">
        <v>48952</v>
      </c>
      <c r="AE31" s="171">
        <v>22593</v>
      </c>
      <c r="AF31" s="201">
        <v>10075</v>
      </c>
      <c r="AG31" s="171">
        <v>34793</v>
      </c>
      <c r="AH31" s="171">
        <v>64658</v>
      </c>
      <c r="AI31" s="171">
        <v>29430</v>
      </c>
      <c r="AJ31" s="201">
        <v>60901</v>
      </c>
      <c r="AK31" s="171">
        <v>31629</v>
      </c>
      <c r="AL31" s="171">
        <v>60103</v>
      </c>
      <c r="AM31" s="213">
        <v>24463</v>
      </c>
      <c r="AN31" s="201">
        <v>52389</v>
      </c>
      <c r="AO31" s="171">
        <v>29946</v>
      </c>
      <c r="AP31" s="265"/>
    </row>
    <row r="32" spans="1:42" s="209" customFormat="1">
      <c r="A32" s="212" t="s">
        <v>68</v>
      </c>
      <c r="B32" s="207"/>
      <c r="C32" s="168"/>
      <c r="D32" s="171">
        <v>34235</v>
      </c>
      <c r="E32" s="201">
        <v>31656</v>
      </c>
      <c r="F32" s="171">
        <v>36542</v>
      </c>
      <c r="G32" s="171">
        <v>36997</v>
      </c>
      <c r="H32" s="171">
        <v>39419</v>
      </c>
      <c r="I32" s="201">
        <v>34235</v>
      </c>
      <c r="J32" s="171">
        <v>28410</v>
      </c>
      <c r="K32" s="171">
        <v>28914</v>
      </c>
      <c r="L32" s="171">
        <v>30161</v>
      </c>
      <c r="M32" s="213"/>
      <c r="N32" s="168"/>
      <c r="O32" s="171">
        <v>34268</v>
      </c>
      <c r="P32" s="201">
        <v>31656</v>
      </c>
      <c r="Q32" s="171">
        <v>36542</v>
      </c>
      <c r="R32" s="171">
        <v>36997</v>
      </c>
      <c r="S32" s="171">
        <v>39419</v>
      </c>
      <c r="T32" s="201">
        <v>34235</v>
      </c>
      <c r="U32" s="171">
        <v>28410</v>
      </c>
      <c r="V32" s="171">
        <v>28914</v>
      </c>
      <c r="W32" s="171">
        <v>30161</v>
      </c>
      <c r="X32" s="201">
        <v>27765</v>
      </c>
      <c r="Y32" s="171">
        <v>25605</v>
      </c>
      <c r="Z32" s="171">
        <v>27301</v>
      </c>
      <c r="AA32" s="171">
        <v>15605</v>
      </c>
      <c r="AB32" s="201">
        <v>21277</v>
      </c>
      <c r="AC32" s="171">
        <v>17648</v>
      </c>
      <c r="AD32" s="171">
        <v>15269</v>
      </c>
      <c r="AE32" s="171">
        <v>15688</v>
      </c>
      <c r="AF32" s="201">
        <v>17707</v>
      </c>
      <c r="AG32" s="171">
        <v>16780</v>
      </c>
      <c r="AH32" s="171">
        <v>20070</v>
      </c>
      <c r="AI32" s="171">
        <v>18278</v>
      </c>
      <c r="AJ32" s="201">
        <v>16955</v>
      </c>
      <c r="AK32" s="171">
        <v>19090</v>
      </c>
      <c r="AL32" s="171">
        <v>15906</v>
      </c>
      <c r="AM32" s="213">
        <v>16319</v>
      </c>
      <c r="AN32" s="201">
        <v>23838</v>
      </c>
      <c r="AO32" s="171">
        <v>23731</v>
      </c>
      <c r="AP32" s="265"/>
    </row>
    <row r="33" spans="1:42" s="209" customFormat="1">
      <c r="A33" s="212" t="s">
        <v>69</v>
      </c>
      <c r="B33" s="207"/>
      <c r="C33" s="207"/>
      <c r="D33" s="171">
        <v>16504</v>
      </c>
      <c r="E33" s="201">
        <v>12709</v>
      </c>
      <c r="F33" s="171">
        <v>15933</v>
      </c>
      <c r="G33" s="171">
        <v>20654</v>
      </c>
      <c r="H33" s="171">
        <v>18084</v>
      </c>
      <c r="I33" s="201">
        <v>16504</v>
      </c>
      <c r="J33" s="171">
        <v>19966</v>
      </c>
      <c r="K33" s="171">
        <v>19428</v>
      </c>
      <c r="L33" s="171">
        <v>17368</v>
      </c>
      <c r="N33" s="207"/>
      <c r="O33" s="171">
        <v>17633</v>
      </c>
      <c r="P33" s="201">
        <v>19142</v>
      </c>
      <c r="Q33" s="171">
        <v>15933</v>
      </c>
      <c r="R33" s="171">
        <v>20654</v>
      </c>
      <c r="S33" s="171">
        <v>18084</v>
      </c>
      <c r="T33" s="201">
        <v>16504</v>
      </c>
      <c r="U33" s="171">
        <v>19966</v>
      </c>
      <c r="V33" s="171">
        <v>19428</v>
      </c>
      <c r="W33" s="171">
        <v>17368</v>
      </c>
      <c r="X33" s="201">
        <v>16282</v>
      </c>
      <c r="Y33" s="171">
        <v>18455</v>
      </c>
      <c r="Z33" s="171">
        <v>19179</v>
      </c>
      <c r="AA33" s="171">
        <v>18071</v>
      </c>
      <c r="AB33" s="201">
        <v>16377</v>
      </c>
      <c r="AC33" s="171">
        <v>21182</v>
      </c>
      <c r="AD33" s="171">
        <v>20935</v>
      </c>
      <c r="AE33" s="171">
        <v>16914</v>
      </c>
      <c r="AF33" s="201">
        <v>16617</v>
      </c>
      <c r="AG33" s="171">
        <v>18192</v>
      </c>
      <c r="AH33" s="171">
        <v>15448</v>
      </c>
      <c r="AI33" s="171">
        <v>15681</v>
      </c>
      <c r="AJ33" s="201">
        <v>16405</v>
      </c>
      <c r="AK33" s="171">
        <v>18278</v>
      </c>
      <c r="AL33" s="171">
        <v>12039</v>
      </c>
      <c r="AM33" s="213">
        <v>13842</v>
      </c>
      <c r="AN33" s="201">
        <v>12099</v>
      </c>
      <c r="AO33" s="171">
        <v>14524</v>
      </c>
      <c r="AP33" s="265"/>
    </row>
    <row r="34" spans="1:42" s="209" customFormat="1">
      <c r="A34" s="212" t="s">
        <v>70</v>
      </c>
      <c r="B34" s="207"/>
      <c r="C34" s="168"/>
      <c r="D34" s="171">
        <v>56002</v>
      </c>
      <c r="E34" s="201">
        <v>42489</v>
      </c>
      <c r="F34" s="171">
        <v>56554</v>
      </c>
      <c r="G34" s="171">
        <v>94233</v>
      </c>
      <c r="H34" s="171">
        <v>52889</v>
      </c>
      <c r="I34" s="201">
        <v>56002</v>
      </c>
      <c r="J34" s="171">
        <v>46063</v>
      </c>
      <c r="K34" s="171">
        <v>41496</v>
      </c>
      <c r="L34" s="171">
        <v>43267</v>
      </c>
      <c r="M34" s="213"/>
      <c r="N34" s="168"/>
      <c r="O34" s="171">
        <v>37315</v>
      </c>
      <c r="P34" s="201">
        <v>42489</v>
      </c>
      <c r="Q34" s="171">
        <v>56554</v>
      </c>
      <c r="R34" s="171">
        <v>94233</v>
      </c>
      <c r="S34" s="171">
        <v>52889</v>
      </c>
      <c r="T34" s="201">
        <v>56002</v>
      </c>
      <c r="U34" s="171">
        <v>46063</v>
      </c>
      <c r="V34" s="171">
        <v>41496</v>
      </c>
      <c r="W34" s="171">
        <v>43267</v>
      </c>
      <c r="X34" s="201">
        <v>39156</v>
      </c>
      <c r="Y34" s="171">
        <v>40225</v>
      </c>
      <c r="Z34" s="171">
        <v>34801</v>
      </c>
      <c r="AA34" s="171">
        <v>36284</v>
      </c>
      <c r="AB34" s="201">
        <v>29328</v>
      </c>
      <c r="AC34" s="171">
        <v>28222</v>
      </c>
      <c r="AD34" s="171">
        <v>25562</v>
      </c>
      <c r="AE34" s="171">
        <v>48376</v>
      </c>
      <c r="AF34" s="201">
        <v>46902</v>
      </c>
      <c r="AG34" s="171">
        <v>62886</v>
      </c>
      <c r="AH34" s="171">
        <v>60001</v>
      </c>
      <c r="AI34" s="171">
        <v>50780</v>
      </c>
      <c r="AJ34" s="201">
        <v>44380</v>
      </c>
      <c r="AK34" s="171">
        <v>58413</v>
      </c>
      <c r="AL34" s="171">
        <v>62294</v>
      </c>
      <c r="AM34" s="213">
        <v>60037</v>
      </c>
      <c r="AN34" s="201">
        <v>66988</v>
      </c>
      <c r="AO34" s="171">
        <v>43336</v>
      </c>
      <c r="AP34" s="265"/>
    </row>
    <row r="35" spans="1:42" s="209" customFormat="1">
      <c r="A35" s="212" t="s">
        <v>71</v>
      </c>
      <c r="B35" s="207"/>
      <c r="C35" s="207"/>
      <c r="D35" s="171">
        <v>17498</v>
      </c>
      <c r="E35" s="201">
        <v>15611</v>
      </c>
      <c r="F35" s="171">
        <v>14785</v>
      </c>
      <c r="G35" s="171">
        <v>16568</v>
      </c>
      <c r="H35" s="171">
        <v>15926</v>
      </c>
      <c r="I35" s="201">
        <v>17498</v>
      </c>
      <c r="J35" s="171">
        <v>15961</v>
      </c>
      <c r="K35" s="171">
        <v>15897</v>
      </c>
      <c r="L35" s="171">
        <v>15172</v>
      </c>
      <c r="M35" s="213"/>
      <c r="N35" s="207"/>
      <c r="O35" s="171">
        <v>15246</v>
      </c>
      <c r="P35" s="201">
        <v>15611</v>
      </c>
      <c r="Q35" s="171">
        <v>14785</v>
      </c>
      <c r="R35" s="171">
        <v>16568</v>
      </c>
      <c r="S35" s="171">
        <v>15926</v>
      </c>
      <c r="T35" s="201">
        <v>17498</v>
      </c>
      <c r="U35" s="171">
        <v>15961</v>
      </c>
      <c r="V35" s="171">
        <v>15897</v>
      </c>
      <c r="W35" s="171">
        <v>15172</v>
      </c>
      <c r="X35" s="201">
        <v>13788</v>
      </c>
      <c r="Y35" s="171">
        <v>13214</v>
      </c>
      <c r="Z35" s="171">
        <v>12831</v>
      </c>
      <c r="AA35" s="171">
        <v>12599</v>
      </c>
      <c r="AB35" s="201">
        <v>12231</v>
      </c>
      <c r="AC35" s="171">
        <v>11143</v>
      </c>
      <c r="AD35" s="171">
        <v>9960</v>
      </c>
      <c r="AE35" s="171">
        <v>9147</v>
      </c>
      <c r="AF35" s="201">
        <v>6683</v>
      </c>
      <c r="AG35" s="171">
        <v>6148</v>
      </c>
      <c r="AH35" s="171">
        <v>5270</v>
      </c>
      <c r="AI35" s="171">
        <v>4902</v>
      </c>
      <c r="AJ35" s="201">
        <v>5485</v>
      </c>
      <c r="AK35" s="171">
        <v>5167</v>
      </c>
      <c r="AL35" s="171">
        <v>5469</v>
      </c>
      <c r="AM35" s="213">
        <v>5048</v>
      </c>
      <c r="AN35" s="201">
        <v>4856</v>
      </c>
      <c r="AO35" s="171">
        <v>4348</v>
      </c>
      <c r="AP35" s="265"/>
    </row>
    <row r="36" spans="1:42" s="209" customFormat="1">
      <c r="A36" s="212" t="s">
        <v>72</v>
      </c>
      <c r="B36" s="207"/>
      <c r="C36" s="207"/>
      <c r="D36" s="171">
        <v>0</v>
      </c>
      <c r="E36" s="201">
        <v>0</v>
      </c>
      <c r="F36" s="171">
        <v>0</v>
      </c>
      <c r="G36" s="171">
        <v>0</v>
      </c>
      <c r="H36" s="171">
        <v>0</v>
      </c>
      <c r="I36" s="201">
        <v>0</v>
      </c>
      <c r="J36" s="171">
        <v>27368</v>
      </c>
      <c r="K36" s="171">
        <v>27444</v>
      </c>
      <c r="L36" s="171">
        <v>26604</v>
      </c>
      <c r="M36" s="213"/>
      <c r="N36" s="207"/>
      <c r="O36" s="171">
        <v>0</v>
      </c>
      <c r="P36" s="201">
        <v>0</v>
      </c>
      <c r="Q36" s="171">
        <v>0</v>
      </c>
      <c r="R36" s="171">
        <v>0</v>
      </c>
      <c r="S36" s="171">
        <v>0</v>
      </c>
      <c r="T36" s="201">
        <v>0</v>
      </c>
      <c r="U36" s="171">
        <v>27368</v>
      </c>
      <c r="V36" s="171">
        <v>27444</v>
      </c>
      <c r="W36" s="171">
        <v>26604</v>
      </c>
      <c r="X36" s="201">
        <v>25345</v>
      </c>
      <c r="Y36" s="171">
        <v>24177</v>
      </c>
      <c r="Z36" s="171">
        <v>24271</v>
      </c>
      <c r="AA36" s="171">
        <v>20049</v>
      </c>
      <c r="AB36" s="201">
        <v>18349</v>
      </c>
      <c r="AC36" s="171">
        <v>17852</v>
      </c>
      <c r="AD36" s="171">
        <v>17096</v>
      </c>
      <c r="AE36" s="171">
        <v>16630</v>
      </c>
      <c r="AF36" s="201">
        <v>15923</v>
      </c>
      <c r="AG36" s="171">
        <v>15352</v>
      </c>
      <c r="AH36" s="171">
        <v>14355</v>
      </c>
      <c r="AI36" s="171">
        <v>13127</v>
      </c>
      <c r="AJ36" s="201">
        <v>11867</v>
      </c>
      <c r="AK36" s="171">
        <v>11373</v>
      </c>
      <c r="AL36" s="171">
        <v>11079</v>
      </c>
      <c r="AM36" s="213">
        <v>11487</v>
      </c>
      <c r="AN36" s="201">
        <v>10845</v>
      </c>
      <c r="AO36" s="171">
        <v>10214</v>
      </c>
      <c r="AP36" s="265"/>
    </row>
    <row r="37" spans="1:42" s="209" customFormat="1" ht="14.4" thickBot="1">
      <c r="A37" s="212" t="s">
        <v>73</v>
      </c>
      <c r="B37" s="207"/>
      <c r="C37" s="168"/>
      <c r="D37" s="182">
        <v>31345</v>
      </c>
      <c r="E37" s="204">
        <v>20565</v>
      </c>
      <c r="F37" s="182">
        <v>21170</v>
      </c>
      <c r="G37" s="182">
        <v>16299</v>
      </c>
      <c r="H37" s="182">
        <v>20062</v>
      </c>
      <c r="I37" s="204">
        <v>29237</v>
      </c>
      <c r="J37" s="182">
        <v>32821</v>
      </c>
      <c r="K37" s="182">
        <v>38929</v>
      </c>
      <c r="L37" s="182">
        <v>37237</v>
      </c>
      <c r="M37" s="213"/>
      <c r="N37" s="168"/>
      <c r="O37" s="182">
        <v>18662</v>
      </c>
      <c r="P37" s="204">
        <v>20565</v>
      </c>
      <c r="Q37" s="182">
        <v>21170</v>
      </c>
      <c r="R37" s="182">
        <v>19799</v>
      </c>
      <c r="S37" s="182">
        <v>20062</v>
      </c>
      <c r="T37" s="204">
        <v>29237</v>
      </c>
      <c r="U37" s="182">
        <v>32821</v>
      </c>
      <c r="V37" s="182">
        <v>38929</v>
      </c>
      <c r="W37" s="182">
        <v>37237</v>
      </c>
      <c r="X37" s="204">
        <v>36490</v>
      </c>
      <c r="Y37" s="182">
        <v>36691</v>
      </c>
      <c r="Z37" s="182">
        <v>36101</v>
      </c>
      <c r="AA37" s="182">
        <v>38042</v>
      </c>
      <c r="AB37" s="204">
        <v>39952</v>
      </c>
      <c r="AC37" s="182">
        <v>39713</v>
      </c>
      <c r="AD37" s="182">
        <v>34778</v>
      </c>
      <c r="AE37" s="182">
        <v>114346</v>
      </c>
      <c r="AF37" s="204">
        <v>236775</v>
      </c>
      <c r="AG37" s="182">
        <v>138664</v>
      </c>
      <c r="AH37" s="182">
        <v>124921</v>
      </c>
      <c r="AI37" s="182">
        <v>195043</v>
      </c>
      <c r="AJ37" s="204">
        <v>154802</v>
      </c>
      <c r="AK37" s="182">
        <v>136696</v>
      </c>
      <c r="AL37" s="182">
        <v>103409</v>
      </c>
      <c r="AM37" s="182">
        <v>48221</v>
      </c>
      <c r="AN37" s="204">
        <v>30029</v>
      </c>
      <c r="AO37" s="182">
        <v>29057</v>
      </c>
      <c r="AP37" s="265"/>
    </row>
    <row r="38" spans="1:42" s="209" customFormat="1">
      <c r="A38" s="216" t="s">
        <v>74</v>
      </c>
      <c r="B38" s="207"/>
      <c r="C38" s="207"/>
      <c r="D38" s="217">
        <v>436467</v>
      </c>
      <c r="E38" s="228">
        <v>373760</v>
      </c>
      <c r="F38" s="217">
        <v>348655</v>
      </c>
      <c r="G38" s="217">
        <v>428954</v>
      </c>
      <c r="H38" s="217">
        <v>373448</v>
      </c>
      <c r="I38" s="228">
        <v>432722</v>
      </c>
      <c r="J38" s="217">
        <v>417622</v>
      </c>
      <c r="K38" s="217">
        <v>434875</v>
      </c>
      <c r="L38" s="217">
        <v>401313</v>
      </c>
      <c r="M38" s="213"/>
      <c r="N38" s="207"/>
      <c r="O38" s="217">
        <f>SUM(O26:O37)</f>
        <v>386370</v>
      </c>
      <c r="P38" s="228">
        <f>SUM(P26:P37)</f>
        <v>417943</v>
      </c>
      <c r="Q38" s="217">
        <v>384608</v>
      </c>
      <c r="R38" s="217">
        <v>474108</v>
      </c>
      <c r="S38" s="217">
        <v>415835</v>
      </c>
      <c r="T38" s="228">
        <v>479325</v>
      </c>
      <c r="U38" s="217">
        <v>464914</v>
      </c>
      <c r="V38" s="217">
        <v>486811</v>
      </c>
      <c r="W38" s="217">
        <v>452166</v>
      </c>
      <c r="X38" s="228">
        <v>465981</v>
      </c>
      <c r="Y38" s="217">
        <v>430692</v>
      </c>
      <c r="Z38" s="217">
        <v>441343</v>
      </c>
      <c r="AA38" s="217">
        <v>390809</v>
      </c>
      <c r="AB38" s="228">
        <v>454739</v>
      </c>
      <c r="AC38" s="217">
        <v>419612</v>
      </c>
      <c r="AD38" s="217">
        <v>415626</v>
      </c>
      <c r="AE38" s="217">
        <v>474047</v>
      </c>
      <c r="AF38" s="228">
        <v>591840</v>
      </c>
      <c r="AG38" s="217">
        <v>514960</v>
      </c>
      <c r="AH38" s="217">
        <v>529508</v>
      </c>
      <c r="AI38" s="217">
        <v>516620</v>
      </c>
      <c r="AJ38" s="228">
        <v>510045</v>
      </c>
      <c r="AK38" s="217">
        <f t="shared" ref="AK38:AL38" si="2">SUM(AK26:AK37)</f>
        <v>470255</v>
      </c>
      <c r="AL38" s="217">
        <f t="shared" si="2"/>
        <v>456192</v>
      </c>
      <c r="AM38" s="217">
        <f>SUM(AM26:AM37)</f>
        <v>370504</v>
      </c>
      <c r="AN38" s="228">
        <f>SUM(AN26:AN37)</f>
        <v>394882</v>
      </c>
      <c r="AO38" s="217">
        <f>SUM(AO26:AO37)</f>
        <v>364677</v>
      </c>
    </row>
    <row r="39" spans="1:42" s="209" customFormat="1">
      <c r="A39" s="212" t="s">
        <v>75</v>
      </c>
      <c r="B39" s="207"/>
      <c r="C39" s="168"/>
      <c r="D39" s="171">
        <v>1306423</v>
      </c>
      <c r="E39" s="201">
        <v>1276094</v>
      </c>
      <c r="F39" s="171">
        <v>1277029</v>
      </c>
      <c r="G39" s="171">
        <v>1281697</v>
      </c>
      <c r="H39" s="171">
        <v>1307884</v>
      </c>
      <c r="I39" s="201">
        <v>1306423</v>
      </c>
      <c r="J39" s="171">
        <v>1336152</v>
      </c>
      <c r="K39" s="171">
        <v>1331898</v>
      </c>
      <c r="L39" s="171">
        <v>1367583</v>
      </c>
      <c r="M39" s="213"/>
      <c r="N39" s="168"/>
      <c r="O39" s="171">
        <v>1278306</v>
      </c>
      <c r="P39" s="201">
        <v>1276094</v>
      </c>
      <c r="Q39" s="171">
        <v>1277029</v>
      </c>
      <c r="R39" s="171">
        <v>1278197</v>
      </c>
      <c r="S39" s="171">
        <v>1307884</v>
      </c>
      <c r="T39" s="201">
        <v>1306423</v>
      </c>
      <c r="U39" s="171">
        <v>1336152</v>
      </c>
      <c r="V39" s="171">
        <v>1331898</v>
      </c>
      <c r="W39" s="171">
        <v>1367583</v>
      </c>
      <c r="X39" s="201">
        <v>1398385</v>
      </c>
      <c r="Y39" s="171">
        <v>1520619</v>
      </c>
      <c r="Z39" s="171">
        <v>1493775</v>
      </c>
      <c r="AA39" s="171">
        <v>1491969</v>
      </c>
      <c r="AB39" s="201">
        <v>1498004</v>
      </c>
      <c r="AC39" s="171">
        <v>1499031</v>
      </c>
      <c r="AD39" s="171">
        <v>1497063</v>
      </c>
      <c r="AE39" s="171">
        <v>1326579</v>
      </c>
      <c r="AF39" s="201">
        <v>1012452</v>
      </c>
      <c r="AG39" s="171">
        <v>1068873</v>
      </c>
      <c r="AH39" s="171">
        <v>975457</v>
      </c>
      <c r="AI39" s="171">
        <v>909506</v>
      </c>
      <c r="AJ39" s="201">
        <v>942035</v>
      </c>
      <c r="AK39" s="171">
        <v>953432</v>
      </c>
      <c r="AL39" s="171">
        <v>960968</v>
      </c>
      <c r="AM39" s="213">
        <v>1043775</v>
      </c>
      <c r="AN39" s="201">
        <v>1030580</v>
      </c>
      <c r="AO39" s="171">
        <v>1041940</v>
      </c>
    </row>
    <row r="40" spans="1:42" s="209" customFormat="1">
      <c r="A40" s="212" t="s">
        <v>76</v>
      </c>
      <c r="B40" s="207"/>
      <c r="C40" s="168"/>
      <c r="D40" s="171">
        <v>26738</v>
      </c>
      <c r="E40" s="201">
        <v>25958</v>
      </c>
      <c r="F40" s="171">
        <v>26474</v>
      </c>
      <c r="G40" s="171">
        <v>25193</v>
      </c>
      <c r="H40" s="171">
        <v>22945</v>
      </c>
      <c r="I40" s="201">
        <v>26738</v>
      </c>
      <c r="J40" s="171">
        <v>27231</v>
      </c>
      <c r="K40" s="171">
        <v>25772</v>
      </c>
      <c r="L40" s="171">
        <v>24159</v>
      </c>
      <c r="N40" s="168"/>
      <c r="O40" s="171">
        <v>25242</v>
      </c>
      <c r="P40" s="201">
        <v>25958</v>
      </c>
      <c r="Q40" s="171">
        <v>26474</v>
      </c>
      <c r="R40" s="171">
        <v>25193</v>
      </c>
      <c r="S40" s="171">
        <v>22945</v>
      </c>
      <c r="T40" s="201">
        <v>26738</v>
      </c>
      <c r="U40" s="171">
        <v>27231</v>
      </c>
      <c r="V40" s="171">
        <v>25772</v>
      </c>
      <c r="W40" s="171">
        <v>24159</v>
      </c>
      <c r="X40" s="201">
        <v>20272</v>
      </c>
      <c r="Y40" s="171">
        <v>16954</v>
      </c>
      <c r="Z40" s="171">
        <v>14437</v>
      </c>
      <c r="AA40" s="171">
        <v>13448</v>
      </c>
      <c r="AB40" s="201">
        <v>13287</v>
      </c>
      <c r="AC40" s="171">
        <v>11401</v>
      </c>
      <c r="AD40" s="171">
        <v>11884</v>
      </c>
      <c r="AE40" s="171">
        <v>10351</v>
      </c>
      <c r="AF40" s="201">
        <v>9156</v>
      </c>
      <c r="AG40" s="171">
        <v>8161</v>
      </c>
      <c r="AH40" s="171">
        <v>8374</v>
      </c>
      <c r="AI40" s="171">
        <v>7276</v>
      </c>
      <c r="AJ40" s="201">
        <v>9448</v>
      </c>
      <c r="AK40" s="171">
        <v>9055</v>
      </c>
      <c r="AL40" s="171">
        <v>7745</v>
      </c>
      <c r="AM40" s="209">
        <v>6815</v>
      </c>
      <c r="AN40" s="201">
        <v>5953</v>
      </c>
      <c r="AO40" s="171">
        <v>5170</v>
      </c>
    </row>
    <row r="41" spans="1:42" s="209" customFormat="1">
      <c r="A41" s="212" t="s">
        <v>77</v>
      </c>
      <c r="B41" s="207"/>
      <c r="C41" s="168"/>
      <c r="D41" s="171">
        <v>25269</v>
      </c>
      <c r="E41" s="201">
        <v>25496</v>
      </c>
      <c r="F41" s="171">
        <v>26081</v>
      </c>
      <c r="G41" s="171">
        <v>30471</v>
      </c>
      <c r="H41" s="171">
        <v>30376</v>
      </c>
      <c r="I41" s="201">
        <v>25269</v>
      </c>
      <c r="J41" s="171">
        <v>25514</v>
      </c>
      <c r="K41" s="171">
        <v>24866</v>
      </c>
      <c r="L41" s="171">
        <v>26667</v>
      </c>
      <c r="M41" s="213"/>
      <c r="N41" s="168"/>
      <c r="O41" s="171">
        <v>29717</v>
      </c>
      <c r="P41" s="201">
        <v>25496</v>
      </c>
      <c r="Q41" s="171">
        <v>28540</v>
      </c>
      <c r="R41" s="171">
        <v>32967</v>
      </c>
      <c r="S41" s="171">
        <v>32887</v>
      </c>
      <c r="T41" s="201">
        <v>27641</v>
      </c>
      <c r="U41" s="171">
        <v>27730</v>
      </c>
      <c r="V41" s="171">
        <v>27141</v>
      </c>
      <c r="W41" s="171">
        <v>28850</v>
      </c>
      <c r="X41" s="201">
        <v>25681</v>
      </c>
      <c r="Y41" s="171">
        <v>28600</v>
      </c>
      <c r="Z41" s="171">
        <v>23881</v>
      </c>
      <c r="AA41" s="171">
        <v>24885</v>
      </c>
      <c r="AB41" s="201">
        <v>35515</v>
      </c>
      <c r="AC41" s="171">
        <v>35335</v>
      </c>
      <c r="AD41" s="171">
        <v>34885</v>
      </c>
      <c r="AE41" s="171">
        <v>33812</v>
      </c>
      <c r="AF41" s="201">
        <v>28383</v>
      </c>
      <c r="AG41" s="171">
        <v>27128</v>
      </c>
      <c r="AH41" s="171">
        <v>25463</v>
      </c>
      <c r="AI41" s="171">
        <v>23165</v>
      </c>
      <c r="AJ41" s="201">
        <v>16917</v>
      </c>
      <c r="AK41" s="171">
        <v>17098</v>
      </c>
      <c r="AL41" s="171">
        <v>17732</v>
      </c>
      <c r="AM41" s="213">
        <v>16861</v>
      </c>
      <c r="AN41" s="201">
        <v>13192</v>
      </c>
      <c r="AO41" s="171">
        <v>12617</v>
      </c>
    </row>
    <row r="42" spans="1:42" s="209" customFormat="1">
      <c r="A42" s="212" t="s">
        <v>78</v>
      </c>
      <c r="B42" s="207"/>
      <c r="C42" s="168"/>
      <c r="D42" s="171">
        <v>9296</v>
      </c>
      <c r="E42" s="201">
        <v>5362</v>
      </c>
      <c r="F42" s="171">
        <v>5478</v>
      </c>
      <c r="G42" s="171">
        <v>5016</v>
      </c>
      <c r="H42" s="171">
        <v>2115</v>
      </c>
      <c r="I42" s="201">
        <v>11212</v>
      </c>
      <c r="J42" s="171">
        <v>12439</v>
      </c>
      <c r="K42" s="171">
        <v>15896</v>
      </c>
      <c r="L42" s="171">
        <v>12677</v>
      </c>
      <c r="M42" s="213"/>
      <c r="N42" s="168"/>
      <c r="O42" s="171">
        <v>35124</v>
      </c>
      <c r="P42" s="201">
        <v>5362</v>
      </c>
      <c r="Q42" s="171">
        <v>5478</v>
      </c>
      <c r="R42" s="171">
        <v>5016</v>
      </c>
      <c r="S42" s="171">
        <v>2115</v>
      </c>
      <c r="T42" s="201">
        <v>11214</v>
      </c>
      <c r="U42" s="171">
        <v>12441</v>
      </c>
      <c r="V42" s="171">
        <v>15898</v>
      </c>
      <c r="W42" s="171">
        <v>12679</v>
      </c>
      <c r="X42" s="201">
        <v>7996</v>
      </c>
      <c r="Y42" s="171">
        <v>7473</v>
      </c>
      <c r="Z42" s="171">
        <v>7685</v>
      </c>
      <c r="AA42" s="171">
        <v>7682</v>
      </c>
      <c r="AB42" s="201">
        <v>9569</v>
      </c>
      <c r="AC42" s="171">
        <v>9154</v>
      </c>
      <c r="AD42" s="171">
        <v>10331</v>
      </c>
      <c r="AE42" s="171">
        <v>8963</v>
      </c>
      <c r="AF42" s="201">
        <v>11594</v>
      </c>
      <c r="AG42" s="171">
        <v>12238</v>
      </c>
      <c r="AH42" s="171">
        <v>12969</v>
      </c>
      <c r="AI42" s="171">
        <v>14046</v>
      </c>
      <c r="AJ42" s="201">
        <v>11180</v>
      </c>
      <c r="AK42" s="171">
        <v>11702</v>
      </c>
      <c r="AL42" s="171">
        <v>11968</v>
      </c>
      <c r="AM42" s="213">
        <v>11859</v>
      </c>
      <c r="AN42" s="201">
        <v>11692</v>
      </c>
      <c r="AO42" s="171">
        <v>12638</v>
      </c>
    </row>
    <row r="43" spans="1:42" s="209" customFormat="1">
      <c r="A43" s="212" t="s">
        <v>79</v>
      </c>
      <c r="B43" s="207"/>
      <c r="C43" s="168"/>
      <c r="D43" s="171">
        <v>3024</v>
      </c>
      <c r="E43" s="201">
        <v>3470</v>
      </c>
      <c r="F43" s="171">
        <v>3470</v>
      </c>
      <c r="G43" s="171">
        <v>3470</v>
      </c>
      <c r="H43" s="171">
        <v>3470</v>
      </c>
      <c r="I43" s="201">
        <v>3024</v>
      </c>
      <c r="J43" s="171">
        <v>3158</v>
      </c>
      <c r="K43" s="171">
        <v>2842</v>
      </c>
      <c r="L43" s="171">
        <v>2892</v>
      </c>
      <c r="M43" s="213"/>
      <c r="N43" s="168"/>
      <c r="O43" s="171">
        <v>3063</v>
      </c>
      <c r="P43" s="201">
        <v>3470</v>
      </c>
      <c r="Q43" s="171">
        <v>3470</v>
      </c>
      <c r="R43" s="171">
        <v>3470</v>
      </c>
      <c r="S43" s="171">
        <v>3470</v>
      </c>
      <c r="T43" s="201">
        <v>3024</v>
      </c>
      <c r="U43" s="171">
        <v>3158</v>
      </c>
      <c r="V43" s="171">
        <v>2842</v>
      </c>
      <c r="W43" s="171">
        <v>2892</v>
      </c>
      <c r="X43" s="201">
        <v>2806</v>
      </c>
      <c r="Y43" s="171">
        <v>2795</v>
      </c>
      <c r="Z43" s="171">
        <v>2808</v>
      </c>
      <c r="AA43" s="171">
        <v>2808</v>
      </c>
      <c r="AB43" s="201">
        <v>2759</v>
      </c>
      <c r="AC43" s="171">
        <v>2260</v>
      </c>
      <c r="AD43" s="171">
        <v>2283</v>
      </c>
      <c r="AE43" s="171">
        <v>2306</v>
      </c>
      <c r="AF43" s="201">
        <v>3201</v>
      </c>
      <c r="AG43" s="171">
        <v>3189</v>
      </c>
      <c r="AH43" s="171">
        <v>2815</v>
      </c>
      <c r="AI43" s="171">
        <v>2757</v>
      </c>
      <c r="AJ43" s="201">
        <v>2742</v>
      </c>
      <c r="AK43" s="171">
        <v>2809</v>
      </c>
      <c r="AL43" s="171">
        <v>3801</v>
      </c>
      <c r="AM43" s="213">
        <v>3835</v>
      </c>
      <c r="AN43" s="201">
        <v>6359</v>
      </c>
      <c r="AO43" s="171">
        <v>6086</v>
      </c>
    </row>
    <row r="44" spans="1:42" s="209" customFormat="1">
      <c r="A44" s="212" t="s">
        <v>80</v>
      </c>
      <c r="B44" s="207"/>
      <c r="C44" s="168"/>
      <c r="D44" s="171"/>
      <c r="E44" s="201"/>
      <c r="F44" s="171"/>
      <c r="G44" s="171"/>
      <c r="H44" s="171"/>
      <c r="I44" s="201">
        <v>0</v>
      </c>
      <c r="J44" s="171">
        <v>78290</v>
      </c>
      <c r="K44" s="171">
        <v>74290</v>
      </c>
      <c r="L44" s="171">
        <v>71661</v>
      </c>
      <c r="M44" s="213"/>
      <c r="N44" s="168"/>
      <c r="O44" s="171">
        <v>0</v>
      </c>
      <c r="P44" s="201">
        <v>0</v>
      </c>
      <c r="Q44" s="171">
        <v>0</v>
      </c>
      <c r="R44" s="171">
        <v>0</v>
      </c>
      <c r="S44" s="171">
        <v>0</v>
      </c>
      <c r="T44" s="201">
        <v>0</v>
      </c>
      <c r="U44" s="171">
        <v>78290</v>
      </c>
      <c r="V44" s="171">
        <v>74290</v>
      </c>
      <c r="W44" s="171">
        <v>71661</v>
      </c>
      <c r="X44" s="201">
        <v>73282</v>
      </c>
      <c r="Y44" s="171">
        <v>66848</v>
      </c>
      <c r="Z44" s="171">
        <v>71661</v>
      </c>
      <c r="AA44" s="171">
        <v>50085</v>
      </c>
      <c r="AB44" s="201">
        <v>56814</v>
      </c>
      <c r="AC44" s="171">
        <v>54929</v>
      </c>
      <c r="AD44" s="171">
        <v>49391</v>
      </c>
      <c r="AE44" s="171">
        <v>45768</v>
      </c>
      <c r="AF44" s="201">
        <v>41170</v>
      </c>
      <c r="AG44" s="171">
        <v>38779</v>
      </c>
      <c r="AH44" s="171">
        <v>37111</v>
      </c>
      <c r="AI44" s="171">
        <v>34573</v>
      </c>
      <c r="AJ44" s="201">
        <v>31030</v>
      </c>
      <c r="AK44" s="171">
        <v>30663</v>
      </c>
      <c r="AL44" s="171">
        <v>27991</v>
      </c>
      <c r="AM44" s="213">
        <v>28684</v>
      </c>
      <c r="AN44" s="201">
        <v>26703</v>
      </c>
      <c r="AO44" s="171">
        <v>24916</v>
      </c>
    </row>
    <row r="45" spans="1:42" s="209" customFormat="1" ht="14.4" thickBot="1">
      <c r="A45" s="212" t="s">
        <v>81</v>
      </c>
      <c r="B45" s="207"/>
      <c r="C45" s="168"/>
      <c r="D45" s="171">
        <v>15401</v>
      </c>
      <c r="E45" s="201">
        <v>14704</v>
      </c>
      <c r="F45" s="171">
        <v>13879</v>
      </c>
      <c r="G45" s="171">
        <v>16208</v>
      </c>
      <c r="H45" s="171">
        <v>15307</v>
      </c>
      <c r="I45" s="201">
        <v>15400</v>
      </c>
      <c r="J45" s="171">
        <v>6747</v>
      </c>
      <c r="K45" s="171">
        <v>7882</v>
      </c>
      <c r="L45" s="171">
        <v>7866</v>
      </c>
      <c r="M45" s="213"/>
      <c r="N45" s="168"/>
      <c r="O45" s="171">
        <v>15811</v>
      </c>
      <c r="P45" s="201">
        <v>14704</v>
      </c>
      <c r="Q45" s="171">
        <v>13879</v>
      </c>
      <c r="R45" s="171">
        <v>16208</v>
      </c>
      <c r="S45" s="171">
        <v>15307</v>
      </c>
      <c r="T45" s="201">
        <v>14717</v>
      </c>
      <c r="U45" s="171">
        <v>6747</v>
      </c>
      <c r="V45" s="171">
        <v>7882</v>
      </c>
      <c r="W45" s="171">
        <v>7866</v>
      </c>
      <c r="X45" s="201">
        <v>6962</v>
      </c>
      <c r="Y45" s="171">
        <v>7508</v>
      </c>
      <c r="Z45" s="171">
        <v>12807</v>
      </c>
      <c r="AA45" s="171">
        <v>16202</v>
      </c>
      <c r="AB45" s="201">
        <v>13624</v>
      </c>
      <c r="AC45" s="171">
        <v>13336</v>
      </c>
      <c r="AD45" s="171">
        <v>12458</v>
      </c>
      <c r="AE45" s="171">
        <v>11957</v>
      </c>
      <c r="AF45" s="201">
        <v>5999</v>
      </c>
      <c r="AG45" s="171">
        <v>5373</v>
      </c>
      <c r="AH45" s="171">
        <v>4941</v>
      </c>
      <c r="AI45" s="171">
        <v>4888</v>
      </c>
      <c r="AJ45" s="201">
        <v>6104</v>
      </c>
      <c r="AK45" s="171">
        <v>6168</v>
      </c>
      <c r="AL45" s="171">
        <v>5955</v>
      </c>
      <c r="AM45" s="171">
        <v>5923</v>
      </c>
      <c r="AN45" s="201">
        <v>5811</v>
      </c>
      <c r="AO45" s="171">
        <v>5392</v>
      </c>
    </row>
    <row r="46" spans="1:42" s="209" customFormat="1" ht="14.4" thickBot="1">
      <c r="A46" s="218" t="s">
        <v>82</v>
      </c>
      <c r="B46" s="207"/>
      <c r="C46" s="168" t="s">
        <v>45</v>
      </c>
      <c r="D46" s="219">
        <v>1822618</v>
      </c>
      <c r="E46" s="229">
        <v>1724844</v>
      </c>
      <c r="F46" s="219">
        <v>1701066</v>
      </c>
      <c r="G46" s="219">
        <v>1791009</v>
      </c>
      <c r="H46" s="219">
        <v>1755545</v>
      </c>
      <c r="I46" s="229">
        <v>1820788</v>
      </c>
      <c r="J46" s="219">
        <v>1907153</v>
      </c>
      <c r="K46" s="219">
        <v>1918321</v>
      </c>
      <c r="L46" s="219">
        <v>1914818</v>
      </c>
      <c r="M46" s="213"/>
      <c r="N46" s="168" t="s">
        <v>45</v>
      </c>
      <c r="O46" s="219">
        <f>SUM(O38:O45)</f>
        <v>1773633</v>
      </c>
      <c r="P46" s="229">
        <f>SUM(P38:P45)</f>
        <v>1769027</v>
      </c>
      <c r="Q46" s="219">
        <v>1739478</v>
      </c>
      <c r="R46" s="219">
        <v>1835159</v>
      </c>
      <c r="S46" s="219">
        <v>1800443</v>
      </c>
      <c r="T46" s="229">
        <v>1869082</v>
      </c>
      <c r="U46" s="219">
        <v>1956663</v>
      </c>
      <c r="V46" s="219">
        <v>1972534</v>
      </c>
      <c r="W46" s="219">
        <v>1967856</v>
      </c>
      <c r="X46" s="229">
        <v>2001365</v>
      </c>
      <c r="Y46" s="219">
        <v>2081489</v>
      </c>
      <c r="Z46" s="219">
        <v>2068397</v>
      </c>
      <c r="AA46" s="219">
        <v>1997888</v>
      </c>
      <c r="AB46" s="229">
        <v>2084311</v>
      </c>
      <c r="AC46" s="219">
        <v>2045058</v>
      </c>
      <c r="AD46" s="219">
        <v>2033921</v>
      </c>
      <c r="AE46" s="219">
        <v>1913783</v>
      </c>
      <c r="AF46" s="229">
        <v>1703795</v>
      </c>
      <c r="AG46" s="219">
        <v>1678701</v>
      </c>
      <c r="AH46" s="219">
        <v>1596638</v>
      </c>
      <c r="AI46" s="219">
        <v>1512831</v>
      </c>
      <c r="AJ46" s="229">
        <f>SUM(AJ38:AJ45)</f>
        <v>1529501</v>
      </c>
      <c r="AK46" s="219">
        <v>1501182</v>
      </c>
      <c r="AL46" s="219">
        <f>SUM(AL38:AL45)</f>
        <v>1492352</v>
      </c>
      <c r="AM46" s="219">
        <f>SUM(AM38:AM45)</f>
        <v>1488256</v>
      </c>
      <c r="AN46" s="229">
        <f>SUM(AN38:AN45)</f>
        <v>1495172</v>
      </c>
      <c r="AO46" s="219">
        <f>SUM(AO38:AO45)</f>
        <v>1473436</v>
      </c>
    </row>
    <row r="47" spans="1:42" s="209" customFormat="1" ht="14.4" thickTop="1">
      <c r="A47" s="212"/>
      <c r="B47" s="207"/>
      <c r="C47" s="168"/>
      <c r="D47" s="217"/>
      <c r="E47" s="228"/>
      <c r="F47" s="171"/>
      <c r="G47" s="171"/>
      <c r="H47" s="217"/>
      <c r="I47" s="228"/>
      <c r="J47" s="171"/>
      <c r="K47" s="171"/>
      <c r="L47" s="171"/>
      <c r="M47" s="213"/>
      <c r="N47" s="168"/>
      <c r="O47" s="217"/>
      <c r="P47" s="228"/>
      <c r="Q47" s="217"/>
      <c r="R47" s="217"/>
      <c r="S47" s="217"/>
      <c r="T47" s="228"/>
      <c r="U47" s="217"/>
      <c r="V47" s="217"/>
      <c r="W47" s="217"/>
      <c r="X47" s="228"/>
      <c r="Y47" s="217"/>
      <c r="Z47" s="217"/>
      <c r="AA47" s="217"/>
      <c r="AB47" s="228"/>
      <c r="AC47" s="217"/>
      <c r="AD47" s="217"/>
      <c r="AE47" s="217"/>
      <c r="AF47" s="228"/>
      <c r="AG47" s="217"/>
      <c r="AH47" s="217"/>
      <c r="AI47" s="217"/>
      <c r="AJ47" s="228"/>
      <c r="AK47" s="217"/>
      <c r="AL47" s="217"/>
      <c r="AM47" s="213"/>
      <c r="AN47" s="228"/>
      <c r="AO47" s="217"/>
    </row>
    <row r="48" spans="1:42" s="209" customFormat="1">
      <c r="A48" s="212" t="s">
        <v>83</v>
      </c>
      <c r="B48" s="207"/>
      <c r="C48" s="168"/>
      <c r="D48" s="171"/>
      <c r="E48" s="201"/>
      <c r="F48" s="171"/>
      <c r="G48" s="171"/>
      <c r="H48" s="171"/>
      <c r="I48" s="201"/>
      <c r="J48" s="171"/>
      <c r="K48" s="171"/>
      <c r="L48" s="171"/>
      <c r="M48" s="213"/>
      <c r="N48" s="168"/>
      <c r="O48" s="171"/>
      <c r="P48" s="201"/>
      <c r="Q48" s="171"/>
      <c r="R48" s="171"/>
      <c r="S48" s="171"/>
      <c r="T48" s="201"/>
      <c r="U48" s="171"/>
      <c r="V48" s="171"/>
      <c r="W48" s="171"/>
      <c r="X48" s="201"/>
      <c r="Y48" s="171"/>
      <c r="Z48" s="171"/>
      <c r="AA48" s="171"/>
      <c r="AB48" s="201"/>
      <c r="AC48" s="171"/>
      <c r="AD48" s="171"/>
      <c r="AE48" s="171"/>
      <c r="AF48" s="201"/>
      <c r="AG48" s="171"/>
      <c r="AH48" s="171"/>
      <c r="AI48" s="171"/>
      <c r="AJ48" s="201"/>
      <c r="AK48" s="171"/>
      <c r="AL48" s="171"/>
      <c r="AM48" s="213"/>
      <c r="AN48" s="201"/>
      <c r="AO48" s="171"/>
    </row>
    <row r="49" spans="1:41" s="209" customFormat="1">
      <c r="A49" s="220" t="s">
        <v>84</v>
      </c>
      <c r="B49" s="207"/>
      <c r="C49" s="168"/>
      <c r="D49" s="171">
        <v>15</v>
      </c>
      <c r="E49" s="201">
        <v>15</v>
      </c>
      <c r="F49" s="171">
        <v>15</v>
      </c>
      <c r="G49" s="171">
        <v>15</v>
      </c>
      <c r="H49" s="171">
        <v>15</v>
      </c>
      <c r="I49" s="201">
        <v>15</v>
      </c>
      <c r="J49" s="171">
        <v>15</v>
      </c>
      <c r="K49" s="171">
        <v>15</v>
      </c>
      <c r="L49" s="171">
        <v>15</v>
      </c>
      <c r="N49" s="168"/>
      <c r="O49" s="171">
        <v>15</v>
      </c>
      <c r="P49" s="201">
        <v>15</v>
      </c>
      <c r="Q49" s="171">
        <v>15</v>
      </c>
      <c r="R49" s="171">
        <v>15</v>
      </c>
      <c r="S49" s="171">
        <v>15</v>
      </c>
      <c r="T49" s="201">
        <v>15</v>
      </c>
      <c r="U49" s="171">
        <v>15</v>
      </c>
      <c r="V49" s="171">
        <v>15</v>
      </c>
      <c r="W49" s="171">
        <v>15</v>
      </c>
      <c r="X49" s="201">
        <v>15</v>
      </c>
      <c r="Y49" s="171">
        <v>15</v>
      </c>
      <c r="Z49" s="171">
        <v>15</v>
      </c>
      <c r="AA49" s="171">
        <v>15</v>
      </c>
      <c r="AB49" s="201">
        <v>15</v>
      </c>
      <c r="AC49" s="171">
        <v>16</v>
      </c>
      <c r="AD49" s="171">
        <v>17</v>
      </c>
      <c r="AE49" s="171">
        <v>26</v>
      </c>
      <c r="AF49" s="201">
        <v>37</v>
      </c>
      <c r="AG49" s="171">
        <v>59</v>
      </c>
      <c r="AH49" s="171">
        <v>91</v>
      </c>
      <c r="AI49" s="171">
        <v>142</v>
      </c>
      <c r="AJ49" s="201">
        <v>162</v>
      </c>
      <c r="AK49" s="171">
        <v>261</v>
      </c>
      <c r="AL49" s="171">
        <v>261</v>
      </c>
      <c r="AM49" s="171">
        <v>261</v>
      </c>
      <c r="AN49" s="201">
        <v>261</v>
      </c>
      <c r="AO49" s="171">
        <v>261</v>
      </c>
    </row>
    <row r="50" spans="1:41" s="209" customFormat="1">
      <c r="A50" s="212" t="s">
        <v>85</v>
      </c>
      <c r="B50" s="207"/>
      <c r="C50" s="168"/>
      <c r="D50" s="171"/>
      <c r="E50" s="201"/>
      <c r="F50" s="171"/>
      <c r="G50" s="171"/>
      <c r="H50" s="171"/>
      <c r="I50" s="201"/>
      <c r="J50" s="171"/>
      <c r="K50" s="171"/>
      <c r="L50" s="171"/>
      <c r="M50" s="213"/>
      <c r="N50" s="168"/>
      <c r="O50" s="171"/>
      <c r="P50" s="201"/>
      <c r="Q50" s="171"/>
      <c r="R50" s="171"/>
      <c r="S50" s="171"/>
      <c r="T50" s="201"/>
      <c r="U50" s="171"/>
      <c r="V50" s="171"/>
      <c r="W50" s="171"/>
      <c r="X50" s="201"/>
      <c r="Y50" s="171"/>
      <c r="Z50" s="171"/>
      <c r="AA50" s="171"/>
      <c r="AB50" s="201"/>
      <c r="AC50" s="171"/>
      <c r="AD50" s="171"/>
      <c r="AE50" s="171"/>
      <c r="AF50" s="201"/>
      <c r="AG50" s="171"/>
      <c r="AH50" s="171"/>
      <c r="AI50" s="171"/>
      <c r="AJ50" s="201"/>
      <c r="AK50" s="171"/>
      <c r="AL50" s="171"/>
      <c r="AM50" s="213"/>
      <c r="AN50" s="201"/>
      <c r="AO50" s="171"/>
    </row>
    <row r="51" spans="1:41" s="209" customFormat="1">
      <c r="A51" s="221" t="s">
        <v>86</v>
      </c>
      <c r="B51" s="207"/>
      <c r="C51" s="168"/>
      <c r="D51" s="171">
        <v>1</v>
      </c>
      <c r="E51" s="201">
        <v>1</v>
      </c>
      <c r="F51" s="171">
        <v>1</v>
      </c>
      <c r="G51" s="171">
        <v>1</v>
      </c>
      <c r="H51" s="171">
        <v>1</v>
      </c>
      <c r="I51" s="201">
        <v>1</v>
      </c>
      <c r="J51" s="171">
        <v>1</v>
      </c>
      <c r="K51" s="171">
        <v>1</v>
      </c>
      <c r="L51" s="171">
        <v>1</v>
      </c>
      <c r="N51" s="168"/>
      <c r="O51" s="171">
        <v>1</v>
      </c>
      <c r="P51" s="201">
        <v>1</v>
      </c>
      <c r="Q51" s="171">
        <v>1</v>
      </c>
      <c r="R51" s="171">
        <v>1</v>
      </c>
      <c r="S51" s="171">
        <v>1</v>
      </c>
      <c r="T51" s="201">
        <v>1</v>
      </c>
      <c r="U51" s="171">
        <v>1</v>
      </c>
      <c r="V51" s="171">
        <v>1</v>
      </c>
      <c r="W51" s="171">
        <v>1</v>
      </c>
      <c r="X51" s="201">
        <v>1</v>
      </c>
      <c r="Y51" s="171">
        <v>1</v>
      </c>
      <c r="Z51" s="171">
        <v>1</v>
      </c>
      <c r="AA51" s="171">
        <v>1</v>
      </c>
      <c r="AB51" s="201">
        <v>1</v>
      </c>
      <c r="AC51" s="171">
        <v>1</v>
      </c>
      <c r="AD51" s="171">
        <v>1</v>
      </c>
      <c r="AE51" s="171">
        <v>1</v>
      </c>
      <c r="AF51" s="201">
        <v>1</v>
      </c>
      <c r="AG51" s="171">
        <v>1</v>
      </c>
      <c r="AH51" s="171">
        <v>1</v>
      </c>
      <c r="AI51" s="171">
        <v>1</v>
      </c>
      <c r="AJ51" s="201">
        <v>1</v>
      </c>
      <c r="AK51" s="171">
        <v>1</v>
      </c>
      <c r="AL51" s="171">
        <v>1</v>
      </c>
      <c r="AM51" s="209">
        <v>1</v>
      </c>
      <c r="AN51" s="201">
        <v>1</v>
      </c>
      <c r="AO51" s="171">
        <v>1</v>
      </c>
    </row>
    <row r="52" spans="1:41" s="209" customFormat="1">
      <c r="A52" s="222" t="s">
        <v>87</v>
      </c>
      <c r="B52" s="207"/>
      <c r="C52" s="168"/>
      <c r="D52" s="171"/>
      <c r="E52" s="201"/>
      <c r="F52" s="171"/>
      <c r="G52" s="171"/>
      <c r="H52" s="171"/>
      <c r="I52" s="201"/>
      <c r="J52" s="171"/>
      <c r="K52" s="171"/>
      <c r="L52" s="171"/>
      <c r="M52" s="213"/>
      <c r="N52" s="168"/>
      <c r="O52" s="171"/>
      <c r="P52" s="201">
        <v>0</v>
      </c>
      <c r="Q52" s="171"/>
      <c r="R52" s="171"/>
      <c r="S52" s="171"/>
      <c r="T52" s="201">
        <v>0</v>
      </c>
      <c r="U52" s="171"/>
      <c r="V52" s="171"/>
      <c r="W52" s="171"/>
      <c r="X52" s="201">
        <v>0</v>
      </c>
      <c r="Y52" s="171">
        <v>0</v>
      </c>
      <c r="Z52" s="171">
        <v>0</v>
      </c>
      <c r="AA52" s="171">
        <v>0</v>
      </c>
      <c r="AB52" s="201">
        <v>0</v>
      </c>
      <c r="AC52" s="171">
        <v>0</v>
      </c>
      <c r="AD52" s="171">
        <v>0</v>
      </c>
      <c r="AE52" s="171">
        <v>0</v>
      </c>
      <c r="AF52" s="201">
        <v>0</v>
      </c>
      <c r="AG52" s="171">
        <v>0</v>
      </c>
      <c r="AH52" s="171">
        <v>0</v>
      </c>
      <c r="AI52" s="171">
        <v>0</v>
      </c>
      <c r="AJ52" s="201">
        <v>0</v>
      </c>
      <c r="AK52" s="171">
        <v>0</v>
      </c>
      <c r="AL52" s="171">
        <v>0</v>
      </c>
      <c r="AM52" s="171">
        <v>0</v>
      </c>
      <c r="AN52" s="201">
        <v>0</v>
      </c>
      <c r="AO52" s="171">
        <v>0</v>
      </c>
    </row>
    <row r="53" spans="1:41" s="209" customFormat="1">
      <c r="A53" s="220" t="s">
        <v>88</v>
      </c>
      <c r="B53" s="207"/>
      <c r="C53" s="168"/>
      <c r="D53" s="171">
        <v>465643</v>
      </c>
      <c r="E53" s="201">
        <v>482018</v>
      </c>
      <c r="F53" s="171">
        <v>482018</v>
      </c>
      <c r="G53" s="171">
        <v>482018</v>
      </c>
      <c r="H53" s="171">
        <v>482018</v>
      </c>
      <c r="I53" s="201">
        <v>482018</v>
      </c>
      <c r="J53" s="171">
        <v>482018</v>
      </c>
      <c r="K53" s="171">
        <v>482018</v>
      </c>
      <c r="L53" s="171">
        <v>482018</v>
      </c>
      <c r="N53" s="168"/>
      <c r="O53" s="171">
        <f>429077+16375</f>
        <v>445452</v>
      </c>
      <c r="P53" s="201">
        <f>429077+16375</f>
        <v>445452</v>
      </c>
      <c r="Q53" s="171">
        <v>445452</v>
      </c>
      <c r="R53" s="171">
        <v>445452</v>
      </c>
      <c r="S53" s="171">
        <v>445452</v>
      </c>
      <c r="T53" s="201">
        <v>445452</v>
      </c>
      <c r="U53" s="171">
        <v>445452</v>
      </c>
      <c r="V53" s="171">
        <v>445452</v>
      </c>
      <c r="W53" s="171">
        <v>445452</v>
      </c>
      <c r="X53" s="201">
        <v>445452</v>
      </c>
      <c r="Y53" s="171">
        <v>445452</v>
      </c>
      <c r="Z53" s="171">
        <v>446739</v>
      </c>
      <c r="AA53" s="171">
        <v>446739</v>
      </c>
      <c r="AB53" s="201">
        <v>446739</v>
      </c>
      <c r="AC53" s="171">
        <v>471804</v>
      </c>
      <c r="AD53" s="171">
        <v>489176</v>
      </c>
      <c r="AE53" s="171">
        <v>711893</v>
      </c>
      <c r="AF53" s="201">
        <v>838853</v>
      </c>
      <c r="AG53" s="171">
        <v>953364</v>
      </c>
      <c r="AH53" s="171">
        <v>1008300</v>
      </c>
      <c r="AI53" s="171">
        <v>1072322</v>
      </c>
      <c r="AJ53" s="201">
        <v>1102619</v>
      </c>
      <c r="AK53" s="171">
        <v>1169548</v>
      </c>
      <c r="AL53" s="171">
        <v>1169517</v>
      </c>
      <c r="AM53" s="171">
        <v>1169517</v>
      </c>
      <c r="AN53" s="201">
        <v>1236171</v>
      </c>
      <c r="AO53" s="171">
        <v>1237354</v>
      </c>
    </row>
    <row r="54" spans="1:41" s="209" customFormat="1">
      <c r="A54" s="212" t="s">
        <v>89</v>
      </c>
      <c r="B54" s="207"/>
      <c r="C54" s="168"/>
      <c r="D54" s="171">
        <v>-10341.543519999999</v>
      </c>
      <c r="E54" s="201">
        <v>-249</v>
      </c>
      <c r="F54" s="171">
        <v>-249</v>
      </c>
      <c r="G54" s="171">
        <v>-3728</v>
      </c>
      <c r="H54" s="171">
        <v>-5148</v>
      </c>
      <c r="I54" s="201">
        <v>-10342</v>
      </c>
      <c r="J54" s="171">
        <v>-10342</v>
      </c>
      <c r="K54" s="171">
        <v>-10949</v>
      </c>
      <c r="L54" s="171">
        <v>-10949</v>
      </c>
      <c r="M54" s="213"/>
      <c r="N54" s="168"/>
      <c r="O54" s="171">
        <v>0</v>
      </c>
      <c r="P54" s="201">
        <v>-249</v>
      </c>
      <c r="Q54" s="171">
        <v>-249</v>
      </c>
      <c r="R54" s="171">
        <v>-3728</v>
      </c>
      <c r="S54" s="171">
        <v>-5148</v>
      </c>
      <c r="T54" s="201">
        <v>-10342</v>
      </c>
      <c r="U54" s="171">
        <v>-10342</v>
      </c>
      <c r="V54" s="171">
        <v>-10949</v>
      </c>
      <c r="W54" s="171">
        <v>-10949</v>
      </c>
      <c r="X54" s="201">
        <v>-10949</v>
      </c>
      <c r="Y54" s="171">
        <v>-10949</v>
      </c>
      <c r="Z54" s="171">
        <v>-10949</v>
      </c>
      <c r="AA54" s="171">
        <v>-10949</v>
      </c>
      <c r="AB54" s="201">
        <v>-10949</v>
      </c>
      <c r="AC54" s="171">
        <v>-10949</v>
      </c>
      <c r="AD54" s="171">
        <v>-10949</v>
      </c>
      <c r="AE54" s="171">
        <v>-10949</v>
      </c>
      <c r="AF54" s="201">
        <v>-10949</v>
      </c>
      <c r="AG54" s="171">
        <v>-10949</v>
      </c>
      <c r="AH54" s="171">
        <v>-10949</v>
      </c>
      <c r="AI54" s="171">
        <v>-10949</v>
      </c>
      <c r="AJ54" s="201">
        <v>-10949</v>
      </c>
      <c r="AK54" s="171">
        <v>-10949</v>
      </c>
      <c r="AL54" s="171">
        <v>-10949</v>
      </c>
      <c r="AM54" s="260">
        <v>0</v>
      </c>
      <c r="AN54" s="201">
        <v>0</v>
      </c>
      <c r="AO54" s="171">
        <v>0</v>
      </c>
    </row>
    <row r="55" spans="1:41" s="209" customFormat="1">
      <c r="A55" s="220" t="s">
        <v>90</v>
      </c>
      <c r="B55" s="207"/>
      <c r="C55" s="168"/>
      <c r="D55" s="171">
        <v>41731</v>
      </c>
      <c r="E55" s="201">
        <v>34085</v>
      </c>
      <c r="F55" s="171">
        <v>35044</v>
      </c>
      <c r="G55" s="171">
        <v>36980</v>
      </c>
      <c r="H55" s="171">
        <v>38601</v>
      </c>
      <c r="I55" s="201">
        <v>41731</v>
      </c>
      <c r="J55" s="171">
        <v>44529</v>
      </c>
      <c r="K55" s="171">
        <v>47190</v>
      </c>
      <c r="L55" s="171">
        <v>48411</v>
      </c>
      <c r="N55" s="168"/>
      <c r="O55" s="171">
        <v>31788</v>
      </c>
      <c r="P55" s="201">
        <v>34085</v>
      </c>
      <c r="Q55" s="171">
        <v>35044</v>
      </c>
      <c r="R55" s="171">
        <v>36980</v>
      </c>
      <c r="S55" s="171">
        <v>38601</v>
      </c>
      <c r="T55" s="201">
        <v>41731</v>
      </c>
      <c r="U55" s="171">
        <v>44529</v>
      </c>
      <c r="V55" s="171">
        <v>47190</v>
      </c>
      <c r="W55" s="171">
        <v>48411</v>
      </c>
      <c r="X55" s="201">
        <v>49336</v>
      </c>
      <c r="Y55" s="171">
        <v>50197</v>
      </c>
      <c r="Z55" s="171">
        <v>51118</v>
      </c>
      <c r="AA55" s="171">
        <v>51816</v>
      </c>
      <c r="AB55" s="201">
        <v>52183</v>
      </c>
      <c r="AC55" s="171">
        <v>52570</v>
      </c>
      <c r="AD55" s="171">
        <v>53163</v>
      </c>
      <c r="AE55" s="171">
        <v>53511</v>
      </c>
      <c r="AF55" s="201">
        <v>56123</v>
      </c>
      <c r="AG55" s="171">
        <v>56235</v>
      </c>
      <c r="AH55" s="171">
        <v>56761</v>
      </c>
      <c r="AI55" s="171">
        <v>56676</v>
      </c>
      <c r="AJ55" s="201">
        <v>56958</v>
      </c>
      <c r="AK55" s="171">
        <v>57069</v>
      </c>
      <c r="AL55" s="171">
        <v>57272</v>
      </c>
      <c r="AM55" s="260">
        <v>57524</v>
      </c>
      <c r="AN55" s="201">
        <v>0</v>
      </c>
      <c r="AO55" s="171">
        <v>0</v>
      </c>
    </row>
    <row r="56" spans="1:41" s="209" customFormat="1">
      <c r="A56" s="212" t="s">
        <v>91</v>
      </c>
      <c r="B56" s="207"/>
      <c r="C56" s="168"/>
      <c r="D56" s="171">
        <v>-662188</v>
      </c>
      <c r="E56" s="201">
        <v>-514628</v>
      </c>
      <c r="F56" s="171">
        <v>-540041</v>
      </c>
      <c r="G56" s="171">
        <v>-565222</v>
      </c>
      <c r="H56" s="171">
        <v>-594162</v>
      </c>
      <c r="I56" s="201">
        <v>-678563</v>
      </c>
      <c r="J56" s="171">
        <v>-707787</v>
      </c>
      <c r="K56" s="171">
        <v>-742616</v>
      </c>
      <c r="L56" s="171">
        <v>-876043</v>
      </c>
      <c r="M56" s="213"/>
      <c r="N56" s="168"/>
      <c r="O56" s="171">
        <f>-440149-16375</f>
        <v>-456524</v>
      </c>
      <c r="P56" s="201">
        <f>-503452-16375</f>
        <v>-519827</v>
      </c>
      <c r="Q56" s="171">
        <v>-555744</v>
      </c>
      <c r="R56" s="171">
        <v>-586253</v>
      </c>
      <c r="S56" s="171">
        <v>-615058</v>
      </c>
      <c r="T56" s="201">
        <v>-702392</v>
      </c>
      <c r="U56" s="171">
        <v>-734563</v>
      </c>
      <c r="V56" s="171">
        <v>-776134</v>
      </c>
      <c r="W56" s="171">
        <v>-907422</v>
      </c>
      <c r="X56" s="201">
        <v>-1211508</v>
      </c>
      <c r="Y56" s="171">
        <v>-1224178</v>
      </c>
      <c r="Z56" s="171">
        <v>-1272869</v>
      </c>
      <c r="AA56" s="171">
        <v>-1301187</v>
      </c>
      <c r="AB56" s="201">
        <v>-1390038</v>
      </c>
      <c r="AC56" s="171">
        <v>-1429238</v>
      </c>
      <c r="AD56" s="171">
        <v>-1448605</v>
      </c>
      <c r="AE56" s="171">
        <v>-1461819</v>
      </c>
      <c r="AF56" s="201">
        <v>-1532428</v>
      </c>
      <c r="AG56" s="171">
        <v>-1589384</v>
      </c>
      <c r="AH56" s="171">
        <v>-1668583</v>
      </c>
      <c r="AI56" s="171">
        <v>-1753865</v>
      </c>
      <c r="AJ56" s="201">
        <v>-1948009</v>
      </c>
      <c r="AK56" s="171">
        <v>-1993445</v>
      </c>
      <c r="AL56" s="171">
        <v>-2024331</v>
      </c>
      <c r="AM56" s="260">
        <v>-2058388</v>
      </c>
      <c r="AN56" s="201">
        <v>-2084114</v>
      </c>
      <c r="AO56" s="171">
        <v>-2108993</v>
      </c>
    </row>
    <row r="57" spans="1:41" s="209" customFormat="1">
      <c r="A57" s="220" t="s">
        <v>92</v>
      </c>
      <c r="B57" s="207"/>
      <c r="C57" s="168"/>
      <c r="D57" s="171"/>
      <c r="E57" s="201"/>
      <c r="F57" s="171"/>
      <c r="G57" s="171"/>
      <c r="H57" s="171"/>
      <c r="I57" s="201"/>
      <c r="J57" s="171"/>
      <c r="K57" s="171"/>
      <c r="L57" s="171"/>
      <c r="N57" s="168"/>
      <c r="O57" s="171"/>
      <c r="P57" s="201"/>
      <c r="Q57" s="171"/>
      <c r="R57" s="171"/>
      <c r="S57" s="171"/>
      <c r="T57" s="201"/>
      <c r="U57" s="171"/>
      <c r="V57" s="171"/>
      <c r="W57" s="171"/>
      <c r="X57" s="201"/>
      <c r="Y57" s="171"/>
      <c r="Z57" s="171"/>
      <c r="AA57" s="171"/>
      <c r="AB57" s="201"/>
      <c r="AC57" s="171"/>
      <c r="AD57" s="171"/>
      <c r="AE57" s="171"/>
      <c r="AF57" s="201"/>
      <c r="AG57" s="171"/>
      <c r="AH57" s="171"/>
      <c r="AI57" s="171"/>
      <c r="AJ57" s="201"/>
      <c r="AK57" s="171"/>
      <c r="AL57" s="171"/>
      <c r="AM57" s="260"/>
      <c r="AN57" s="201"/>
      <c r="AO57" s="171"/>
    </row>
    <row r="58" spans="1:41" s="209" customFormat="1">
      <c r="A58" s="212" t="s">
        <v>93</v>
      </c>
      <c r="B58" s="207"/>
      <c r="C58" s="168"/>
      <c r="D58" s="171">
        <v>-6565</v>
      </c>
      <c r="E58" s="201">
        <v>-194</v>
      </c>
      <c r="F58" s="171">
        <v>-462</v>
      </c>
      <c r="G58" s="171">
        <v>-1341</v>
      </c>
      <c r="H58" s="171">
        <v>-3833</v>
      </c>
      <c r="I58" s="201">
        <v>-6565</v>
      </c>
      <c r="J58" s="171">
        <v>-3173</v>
      </c>
      <c r="K58" s="171">
        <v>-5461</v>
      </c>
      <c r="L58" s="171">
        <v>-7786</v>
      </c>
      <c r="M58" s="213"/>
      <c r="N58" s="168"/>
      <c r="O58" s="171">
        <v>-2291</v>
      </c>
      <c r="P58" s="201">
        <v>-220</v>
      </c>
      <c r="Q58" s="171">
        <v>-487</v>
      </c>
      <c r="R58" s="171">
        <v>-1366</v>
      </c>
      <c r="S58" s="171">
        <v>-3858</v>
      </c>
      <c r="T58" s="201">
        <v>-6423</v>
      </c>
      <c r="U58" s="171">
        <v>-3031</v>
      </c>
      <c r="V58" s="171">
        <v>-5319</v>
      </c>
      <c r="W58" s="171">
        <v>-7644</v>
      </c>
      <c r="X58" s="201">
        <v>-7329</v>
      </c>
      <c r="Y58" s="171">
        <v>-6409</v>
      </c>
      <c r="Z58" s="171">
        <v>-6387</v>
      </c>
      <c r="AA58" s="171">
        <v>-6044</v>
      </c>
      <c r="AB58" s="201">
        <v>-7419</v>
      </c>
      <c r="AC58" s="171">
        <v>-7319</v>
      </c>
      <c r="AD58" s="171">
        <v>-8763</v>
      </c>
      <c r="AE58" s="171">
        <v>-8664</v>
      </c>
      <c r="AF58" s="201">
        <v>-7463</v>
      </c>
      <c r="AG58" s="171">
        <v>-5986</v>
      </c>
      <c r="AH58" s="171">
        <v>-4853</v>
      </c>
      <c r="AI58" s="171">
        <v>-2875</v>
      </c>
      <c r="AJ58" s="201">
        <v>-4788</v>
      </c>
      <c r="AK58" s="171">
        <v>-6893</v>
      </c>
      <c r="AL58" s="171">
        <v>-4992</v>
      </c>
      <c r="AM58" s="260">
        <v>-8157</v>
      </c>
      <c r="AN58" s="201">
        <v>-7648</v>
      </c>
      <c r="AO58" s="171">
        <v>-6422</v>
      </c>
    </row>
    <row r="59" spans="1:41" s="209" customFormat="1">
      <c r="A59" s="220" t="s">
        <v>94</v>
      </c>
      <c r="B59" s="207"/>
      <c r="C59" s="168"/>
      <c r="D59" s="223">
        <v>-9509</v>
      </c>
      <c r="E59" s="230">
        <v>-11054</v>
      </c>
      <c r="F59" s="223">
        <v>-11457</v>
      </c>
      <c r="G59" s="223">
        <v>-10831</v>
      </c>
      <c r="H59" s="223">
        <v>-10691</v>
      </c>
      <c r="I59" s="230">
        <v>-9301</v>
      </c>
      <c r="J59" s="223">
        <v>-9525</v>
      </c>
      <c r="K59" s="223">
        <v>-9269</v>
      </c>
      <c r="L59" s="223">
        <v>-8978</v>
      </c>
      <c r="N59" s="168"/>
      <c r="O59" s="223">
        <v>-13839</v>
      </c>
      <c r="P59" s="230">
        <v>-11054</v>
      </c>
      <c r="Q59" s="223">
        <v>-11457</v>
      </c>
      <c r="R59" s="223">
        <v>-10831</v>
      </c>
      <c r="S59" s="223">
        <v>-10691</v>
      </c>
      <c r="T59" s="230">
        <v>-9301</v>
      </c>
      <c r="U59" s="223">
        <v>-9525</v>
      </c>
      <c r="V59" s="223">
        <v>-9269</v>
      </c>
      <c r="W59" s="223">
        <v>-8978</v>
      </c>
      <c r="X59" s="230">
        <v>-8059</v>
      </c>
      <c r="Y59" s="223">
        <v>-7555</v>
      </c>
      <c r="Z59" s="223">
        <v>-7522</v>
      </c>
      <c r="AA59" s="223">
        <v>-7854</v>
      </c>
      <c r="AB59" s="230">
        <v>-17064</v>
      </c>
      <c r="AC59" s="223">
        <v>-17221</v>
      </c>
      <c r="AD59" s="223">
        <v>-17306</v>
      </c>
      <c r="AE59" s="223">
        <v>-16834</v>
      </c>
      <c r="AF59" s="230">
        <v>-10946</v>
      </c>
      <c r="AG59" s="223">
        <v>-10638</v>
      </c>
      <c r="AH59" s="223">
        <v>-9836</v>
      </c>
      <c r="AI59" s="223">
        <v>-9012</v>
      </c>
      <c r="AJ59" s="230">
        <v>-3583</v>
      </c>
      <c r="AK59" s="223">
        <v>-3672</v>
      </c>
      <c r="AL59" s="261">
        <v>-3788</v>
      </c>
      <c r="AM59" s="261">
        <v>-3641</v>
      </c>
      <c r="AN59" s="230">
        <v>-174</v>
      </c>
      <c r="AO59" s="223">
        <v>37</v>
      </c>
    </row>
    <row r="60" spans="1:41" s="209" customFormat="1" ht="14.4" thickBot="1">
      <c r="A60" s="212" t="s">
        <v>95</v>
      </c>
      <c r="B60" s="207"/>
      <c r="C60" s="168"/>
      <c r="D60" s="171">
        <v>-16074</v>
      </c>
      <c r="E60" s="201">
        <v>-11248</v>
      </c>
      <c r="F60" s="171">
        <v>-11919</v>
      </c>
      <c r="G60" s="171">
        <v>-12172</v>
      </c>
      <c r="H60" s="171">
        <v>-14524</v>
      </c>
      <c r="I60" s="201">
        <v>-15866</v>
      </c>
      <c r="J60" s="171">
        <v>-12698</v>
      </c>
      <c r="K60" s="171">
        <v>-14730</v>
      </c>
      <c r="L60" s="171">
        <v>-16764</v>
      </c>
      <c r="M60" s="213"/>
      <c r="N60" s="168"/>
      <c r="O60" s="171">
        <f>SUM(O58:O59)</f>
        <v>-16130</v>
      </c>
      <c r="P60" s="201">
        <f>SUM(P58:P59)</f>
        <v>-11274</v>
      </c>
      <c r="Q60" s="171">
        <v>-11944</v>
      </c>
      <c r="R60" s="171">
        <v>-12197</v>
      </c>
      <c r="S60" s="171">
        <v>-14549</v>
      </c>
      <c r="T60" s="201">
        <v>-15724</v>
      </c>
      <c r="U60" s="171">
        <v>-12556</v>
      </c>
      <c r="V60" s="171">
        <v>-14588</v>
      </c>
      <c r="W60" s="171">
        <v>-16622</v>
      </c>
      <c r="X60" s="201">
        <v>-15388</v>
      </c>
      <c r="Y60" s="171">
        <v>-13964</v>
      </c>
      <c r="Z60" s="171">
        <v>-13909</v>
      </c>
      <c r="AA60" s="171">
        <v>-13898</v>
      </c>
      <c r="AB60" s="201">
        <v>-24483</v>
      </c>
      <c r="AC60" s="171">
        <v>-24540</v>
      </c>
      <c r="AD60" s="171">
        <v>-26069</v>
      </c>
      <c r="AE60" s="171">
        <v>-25498</v>
      </c>
      <c r="AF60" s="201">
        <v>-18409</v>
      </c>
      <c r="AG60" s="171">
        <v>-16624</v>
      </c>
      <c r="AH60" s="171">
        <v>-14689</v>
      </c>
      <c r="AI60" s="171">
        <v>-11887</v>
      </c>
      <c r="AJ60" s="201">
        <v>-8371</v>
      </c>
      <c r="AK60" s="171">
        <v>-10565</v>
      </c>
      <c r="AL60" s="171">
        <f>SUM(AL58:AL59)</f>
        <v>-8780</v>
      </c>
      <c r="AM60" s="171">
        <f>SUM(AM58:AM59)</f>
        <v>-11798</v>
      </c>
      <c r="AN60" s="201">
        <f>SUM(AN58:AN59)</f>
        <v>-7822</v>
      </c>
      <c r="AO60" s="171">
        <f>SUM(AO58:AO59)</f>
        <v>-6385</v>
      </c>
    </row>
    <row r="61" spans="1:41" s="209" customFormat="1" ht="14.4" thickBot="1">
      <c r="A61" s="214" t="s">
        <v>365</v>
      </c>
      <c r="B61" s="207"/>
      <c r="C61" s="168"/>
      <c r="D61" s="215">
        <v>-181213.54352000001</v>
      </c>
      <c r="E61" s="227">
        <v>-10006</v>
      </c>
      <c r="F61" s="215">
        <v>-35131</v>
      </c>
      <c r="G61" s="215">
        <v>-62108</v>
      </c>
      <c r="H61" s="215">
        <v>-93199</v>
      </c>
      <c r="I61" s="227">
        <v>-181006</v>
      </c>
      <c r="J61" s="215">
        <v>-204264</v>
      </c>
      <c r="K61" s="215">
        <v>-239071</v>
      </c>
      <c r="L61" s="215">
        <v>-373311</v>
      </c>
      <c r="M61" s="213"/>
      <c r="N61" s="168"/>
      <c r="O61" s="215">
        <f>SUM(O49:O59)</f>
        <v>4602</v>
      </c>
      <c r="P61" s="227">
        <f>SUM(P49:P59)</f>
        <v>-51797</v>
      </c>
      <c r="Q61" s="215">
        <v>-87425</v>
      </c>
      <c r="R61" s="215">
        <v>-119730</v>
      </c>
      <c r="S61" s="215">
        <v>-150686</v>
      </c>
      <c r="T61" s="227">
        <v>-241259</v>
      </c>
      <c r="U61" s="215">
        <v>-267464</v>
      </c>
      <c r="V61" s="215">
        <v>-309013</v>
      </c>
      <c r="W61" s="215">
        <v>-441114</v>
      </c>
      <c r="X61" s="227">
        <v>-743041</v>
      </c>
      <c r="Y61" s="215">
        <v>-753426</v>
      </c>
      <c r="Z61" s="215">
        <v>-799854</v>
      </c>
      <c r="AA61" s="215">
        <v>-827463</v>
      </c>
      <c r="AB61" s="227">
        <v>-926532</v>
      </c>
      <c r="AC61" s="215">
        <v>-940336</v>
      </c>
      <c r="AD61" s="215">
        <v>-943266</v>
      </c>
      <c r="AE61" s="215">
        <v>-732835</v>
      </c>
      <c r="AF61" s="227">
        <v>-666772</v>
      </c>
      <c r="AG61" s="215">
        <v>-607298</v>
      </c>
      <c r="AH61" s="215">
        <v>-629068</v>
      </c>
      <c r="AI61" s="215">
        <v>-647560</v>
      </c>
      <c r="AJ61" s="227">
        <v>-807589</v>
      </c>
      <c r="AK61" s="215">
        <v>-788080</v>
      </c>
      <c r="AL61" s="215">
        <f>SUM(AL49:AL59)</f>
        <v>-817009</v>
      </c>
      <c r="AM61" s="215">
        <f>SUM(AM49:AM59)</f>
        <v>-842883</v>
      </c>
      <c r="AN61" s="227">
        <f>SUM(AN49:AN59)</f>
        <v>-855503</v>
      </c>
      <c r="AO61" s="215">
        <f>SUM(AO49:AO59)</f>
        <v>-877762</v>
      </c>
    </row>
    <row r="62" spans="1:41" s="209" customFormat="1" ht="14.4" thickBot="1">
      <c r="A62" s="214" t="s">
        <v>366</v>
      </c>
      <c r="B62" s="207"/>
      <c r="C62" s="168"/>
      <c r="D62" s="215"/>
      <c r="E62" s="227"/>
      <c r="F62" s="215"/>
      <c r="G62" s="215"/>
      <c r="H62" s="215"/>
      <c r="I62" s="227"/>
      <c r="J62" s="215"/>
      <c r="K62" s="215"/>
      <c r="L62" s="215"/>
      <c r="M62" s="213"/>
      <c r="N62" s="168"/>
      <c r="O62" s="215"/>
      <c r="P62" s="227"/>
      <c r="Q62" s="215"/>
      <c r="R62" s="215"/>
      <c r="S62" s="215"/>
      <c r="T62" s="227"/>
      <c r="U62" s="215"/>
      <c r="V62" s="215"/>
      <c r="W62" s="215"/>
      <c r="X62" s="227"/>
      <c r="Y62" s="215"/>
      <c r="Z62" s="215"/>
      <c r="AA62" s="215"/>
      <c r="AB62" s="227"/>
      <c r="AC62" s="215"/>
      <c r="AD62" s="215"/>
      <c r="AE62" s="215"/>
      <c r="AF62" s="227"/>
      <c r="AG62" s="215"/>
      <c r="AH62" s="215"/>
      <c r="AI62" s="215"/>
      <c r="AJ62" s="227">
        <v>0</v>
      </c>
      <c r="AK62" s="215">
        <v>0</v>
      </c>
      <c r="AL62" s="215">
        <v>0</v>
      </c>
      <c r="AM62" s="215">
        <v>0</v>
      </c>
      <c r="AN62" s="227">
        <v>-3332</v>
      </c>
      <c r="AO62" s="215">
        <v>-3870</v>
      </c>
    </row>
    <row r="63" spans="1:41" s="209" customFormat="1" ht="14.4" thickBot="1">
      <c r="A63" s="214" t="s">
        <v>367</v>
      </c>
      <c r="B63" s="207"/>
      <c r="C63" s="168"/>
      <c r="D63" s="215"/>
      <c r="E63" s="227"/>
      <c r="F63" s="215"/>
      <c r="G63" s="215"/>
      <c r="H63" s="215"/>
      <c r="I63" s="227"/>
      <c r="J63" s="215"/>
      <c r="K63" s="215"/>
      <c r="L63" s="215"/>
      <c r="M63" s="213"/>
      <c r="N63" s="168"/>
      <c r="O63" s="215"/>
      <c r="P63" s="227"/>
      <c r="Q63" s="215"/>
      <c r="R63" s="215"/>
      <c r="S63" s="215"/>
      <c r="T63" s="227"/>
      <c r="U63" s="215"/>
      <c r="V63" s="215"/>
      <c r="W63" s="215"/>
      <c r="X63" s="227"/>
      <c r="Y63" s="215"/>
      <c r="Z63" s="215"/>
      <c r="AA63" s="215"/>
      <c r="AB63" s="227"/>
      <c r="AC63" s="215"/>
      <c r="AD63" s="215"/>
      <c r="AE63" s="215"/>
      <c r="AF63" s="227"/>
      <c r="AG63" s="215"/>
      <c r="AH63" s="215"/>
      <c r="AI63" s="215"/>
      <c r="AJ63" s="227">
        <f t="shared" ref="AJ63:AM63" si="3">AJ61+AJ62</f>
        <v>-807589</v>
      </c>
      <c r="AK63" s="215">
        <f t="shared" si="3"/>
        <v>-788080</v>
      </c>
      <c r="AL63" s="215">
        <f t="shared" si="3"/>
        <v>-817009</v>
      </c>
      <c r="AM63" s="215">
        <f t="shared" si="3"/>
        <v>-842883</v>
      </c>
      <c r="AN63" s="227">
        <f>AN61+AN62</f>
        <v>-858835</v>
      </c>
      <c r="AO63" s="215">
        <f t="shared" ref="AO63" si="4">AO61+AO62</f>
        <v>-881632</v>
      </c>
    </row>
    <row r="64" spans="1:41" s="209" customFormat="1" ht="14.4" thickBot="1">
      <c r="A64" s="218" t="s">
        <v>96</v>
      </c>
      <c r="B64" s="207"/>
      <c r="C64" s="168" t="s">
        <v>45</v>
      </c>
      <c r="D64" s="219">
        <v>1641404.4564799999</v>
      </c>
      <c r="E64" s="229">
        <v>1714838</v>
      </c>
      <c r="F64" s="219">
        <v>1665935</v>
      </c>
      <c r="G64" s="219">
        <v>1728901</v>
      </c>
      <c r="H64" s="219">
        <v>1662346</v>
      </c>
      <c r="I64" s="229">
        <v>1639782</v>
      </c>
      <c r="J64" s="219">
        <v>1702889</v>
      </c>
      <c r="K64" s="219">
        <v>1679250</v>
      </c>
      <c r="L64" s="219">
        <v>1541507</v>
      </c>
      <c r="M64" s="213"/>
      <c r="N64" s="168" t="s">
        <v>45</v>
      </c>
      <c r="O64" s="219">
        <f>O61+O46</f>
        <v>1778235</v>
      </c>
      <c r="P64" s="229">
        <f>P61+P46</f>
        <v>1717230</v>
      </c>
      <c r="Q64" s="219">
        <v>1652053</v>
      </c>
      <c r="R64" s="219">
        <v>1715429</v>
      </c>
      <c r="S64" s="219">
        <v>1649757</v>
      </c>
      <c r="T64" s="229">
        <v>1627823</v>
      </c>
      <c r="U64" s="219">
        <v>1689199</v>
      </c>
      <c r="V64" s="219">
        <v>1663521</v>
      </c>
      <c r="W64" s="219">
        <v>1526742</v>
      </c>
      <c r="X64" s="229">
        <v>1258324</v>
      </c>
      <c r="Y64" s="219">
        <v>1328063</v>
      </c>
      <c r="Z64" s="219">
        <v>1268543</v>
      </c>
      <c r="AA64" s="219">
        <v>1170425</v>
      </c>
      <c r="AB64" s="229">
        <v>1157779</v>
      </c>
      <c r="AC64" s="219">
        <v>1104722</v>
      </c>
      <c r="AD64" s="219">
        <v>1090655</v>
      </c>
      <c r="AE64" s="219">
        <v>1180948</v>
      </c>
      <c r="AF64" s="229">
        <v>1037023</v>
      </c>
      <c r="AG64" s="219">
        <v>1071403</v>
      </c>
      <c r="AH64" s="219">
        <v>967570</v>
      </c>
      <c r="AI64" s="219">
        <v>865271</v>
      </c>
      <c r="AJ64" s="229">
        <f t="shared" ref="AJ64:AM64" si="5">AJ46+AJ63</f>
        <v>721912</v>
      </c>
      <c r="AK64" s="219">
        <f t="shared" si="5"/>
        <v>713102</v>
      </c>
      <c r="AL64" s="219">
        <f t="shared" si="5"/>
        <v>675343</v>
      </c>
      <c r="AM64" s="219">
        <f t="shared" si="5"/>
        <v>645373</v>
      </c>
      <c r="AN64" s="229">
        <f>AN46+AN63</f>
        <v>636337</v>
      </c>
      <c r="AO64" s="219">
        <f t="shared" ref="AO64" si="6">AO46+AO63</f>
        <v>591804</v>
      </c>
    </row>
    <row r="65" spans="1:41" s="209" customFormat="1" ht="14.4" thickTop="1">
      <c r="A65" s="168"/>
      <c r="B65" s="207"/>
      <c r="C65" s="168"/>
      <c r="D65" s="187"/>
      <c r="E65" s="186"/>
      <c r="F65" s="187"/>
      <c r="G65" s="187"/>
      <c r="H65" s="187"/>
      <c r="I65" s="186"/>
      <c r="J65" s="187"/>
      <c r="K65" s="187"/>
      <c r="L65" s="187"/>
      <c r="N65" s="168"/>
      <c r="O65" s="187"/>
      <c r="P65" s="186"/>
      <c r="Q65" s="187"/>
      <c r="R65" s="187"/>
      <c r="S65" s="187"/>
      <c r="T65" s="186"/>
      <c r="U65" s="187"/>
      <c r="V65" s="187"/>
      <c r="W65" s="187"/>
      <c r="X65" s="186"/>
      <c r="Y65" s="187"/>
      <c r="Z65" s="187"/>
      <c r="AA65" s="187"/>
      <c r="AB65" s="186"/>
      <c r="AC65" s="187"/>
      <c r="AD65" s="187"/>
      <c r="AE65" s="187"/>
      <c r="AF65" s="186"/>
      <c r="AG65" s="187"/>
      <c r="AH65" s="187"/>
      <c r="AI65" s="187"/>
      <c r="AJ65" s="186"/>
      <c r="AK65" s="187"/>
      <c r="AL65" s="187"/>
      <c r="AN65" s="186"/>
      <c r="AO65" s="187"/>
    </row>
    <row r="66" spans="1:41" s="209" customFormat="1">
      <c r="A66" s="224" t="s">
        <v>303</v>
      </c>
      <c r="B66" s="207"/>
      <c r="C66" s="168"/>
      <c r="D66" s="171"/>
      <c r="E66" s="186"/>
      <c r="F66" s="171"/>
      <c r="G66" s="171"/>
      <c r="H66" s="171"/>
      <c r="I66" s="186"/>
      <c r="J66" s="171"/>
      <c r="K66" s="171"/>
      <c r="L66" s="171"/>
      <c r="N66" s="168"/>
      <c r="O66" s="171"/>
      <c r="P66" s="186"/>
      <c r="Q66" s="171"/>
      <c r="R66" s="171"/>
      <c r="S66" s="171"/>
      <c r="T66" s="186"/>
      <c r="U66" s="171"/>
      <c r="V66" s="171"/>
      <c r="W66" s="171"/>
      <c r="X66" s="186"/>
      <c r="Y66" s="171"/>
      <c r="Z66" s="171"/>
      <c r="AA66" s="171"/>
      <c r="AB66" s="186"/>
      <c r="AC66" s="171"/>
      <c r="AD66" s="171"/>
      <c r="AE66" s="171"/>
      <c r="AF66" s="186"/>
      <c r="AG66" s="171"/>
      <c r="AH66" s="171"/>
      <c r="AI66" s="171"/>
      <c r="AJ66" s="186"/>
      <c r="AK66" s="171"/>
      <c r="AL66" s="171"/>
      <c r="AN66" s="186"/>
      <c r="AO66" s="171"/>
    </row>
    <row r="67" spans="1:41" s="209" customFormat="1">
      <c r="A67" s="225"/>
      <c r="B67" s="207"/>
      <c r="C67" s="168"/>
      <c r="D67" s="180"/>
      <c r="E67" s="168"/>
      <c r="F67" s="180"/>
      <c r="G67" s="180"/>
      <c r="H67" s="180"/>
      <c r="I67" s="168"/>
      <c r="J67" s="180"/>
      <c r="K67" s="180"/>
      <c r="L67" s="180"/>
      <c r="N67" s="168"/>
      <c r="O67" s="180"/>
      <c r="P67" s="168"/>
      <c r="Q67" s="180"/>
      <c r="R67" s="180"/>
      <c r="S67" s="180"/>
      <c r="T67" s="168"/>
      <c r="U67" s="180"/>
      <c r="V67" s="180"/>
      <c r="W67" s="180"/>
      <c r="X67" s="168"/>
      <c r="Y67" s="180"/>
      <c r="Z67" s="180"/>
      <c r="AA67" s="180"/>
      <c r="AB67" s="168"/>
      <c r="AC67" s="180"/>
      <c r="AD67" s="180"/>
      <c r="AE67" s="180"/>
      <c r="AF67" s="168"/>
      <c r="AG67" s="180"/>
      <c r="AH67" s="180"/>
      <c r="AI67" s="180"/>
      <c r="AJ67" s="168"/>
      <c r="AK67" s="180"/>
      <c r="AL67" s="180"/>
      <c r="AN67" s="168"/>
      <c r="AO67" s="180"/>
    </row>
    <row r="68" spans="1:41" s="209" customFormat="1">
      <c r="A68" s="225"/>
      <c r="B68" s="207"/>
      <c r="C68" s="168"/>
      <c r="D68" s="180"/>
      <c r="E68" s="168"/>
      <c r="F68" s="180"/>
      <c r="G68" s="180"/>
      <c r="H68" s="180"/>
      <c r="I68" s="168"/>
      <c r="J68" s="180"/>
      <c r="K68" s="180"/>
      <c r="L68" s="180"/>
      <c r="N68" s="168"/>
      <c r="O68" s="180"/>
      <c r="P68" s="168"/>
      <c r="Q68" s="180"/>
      <c r="R68" s="180"/>
      <c r="S68" s="180"/>
      <c r="T68" s="168"/>
      <c r="U68" s="180"/>
      <c r="V68" s="180"/>
      <c r="W68" s="180"/>
      <c r="X68" s="168"/>
      <c r="Y68" s="180"/>
      <c r="Z68" s="180"/>
      <c r="AA68" s="180"/>
      <c r="AB68" s="168"/>
      <c r="AC68" s="180"/>
      <c r="AD68" s="180"/>
      <c r="AE68" s="180"/>
      <c r="AF68" s="168"/>
      <c r="AG68" s="180"/>
      <c r="AH68" s="180"/>
      <c r="AI68" s="180"/>
      <c r="AJ68" s="168"/>
      <c r="AK68" s="180"/>
      <c r="AL68" s="180"/>
      <c r="AN68" s="168"/>
      <c r="AO68" s="180"/>
    </row>
  </sheetData>
  <hyperlinks>
    <hyperlink ref="AP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XFC35"/>
  <sheetViews>
    <sheetView showGridLines="0" zoomScale="110" zoomScaleNormal="110" workbookViewId="0">
      <pane xSplit="1" ySplit="7" topLeftCell="AN8" activePane="bottomRight" state="frozen"/>
      <selection activeCell="B22" sqref="B22"/>
      <selection pane="topRight" activeCell="B22" sqref="B22"/>
      <selection pane="bottomLeft" activeCell="B22" sqref="B22"/>
      <selection pane="bottomRight" activeCell="AT34" sqref="AT34"/>
    </sheetView>
  </sheetViews>
  <sheetFormatPr defaultColWidth="0" defaultRowHeight="16.5" customHeight="1" outlineLevelCol="1"/>
  <cols>
    <col min="1" max="1" width="75.44140625" style="2" bestFit="1" customWidth="1"/>
    <col min="2" max="3" width="1.44140625" style="2" hidden="1" customWidth="1" outlineLevel="1"/>
    <col min="4" max="4" width="13.44140625" style="65" hidden="1" customWidth="1" outlineLevel="1"/>
    <col min="5" max="5" width="12.44140625" style="65" hidden="1" customWidth="1" outlineLevel="1"/>
    <col min="6" max="6" width="13.44140625" style="2" hidden="1" customWidth="1" outlineLevel="1"/>
    <col min="7" max="9" width="12.44140625" style="65" hidden="1" customWidth="1" outlineLevel="1"/>
    <col min="10" max="10" width="12" style="2" hidden="1" customWidth="1" outlineLevel="1"/>
    <col min="11" max="11" width="13.44140625" style="2" hidden="1" customWidth="1" outlineLevel="1"/>
    <col min="12" max="14" width="12.44140625" style="65" hidden="1" customWidth="1" outlineLevel="1"/>
    <col min="15" max="15" width="1.44140625" style="2" hidden="1" customWidth="1" outlineLevel="1"/>
    <col min="16" max="16" width="1.44140625" style="2" customWidth="1" collapsed="1"/>
    <col min="17" max="17" width="1.44140625" style="2" customWidth="1"/>
    <col min="18" max="19" width="11.6640625" style="65" hidden="1" customWidth="1" outlineLevel="1"/>
    <col min="20" max="20" width="11.6640625" style="2" customWidth="1" collapsed="1"/>
    <col min="21" max="23" width="11.6640625" style="65" hidden="1" customWidth="1" outlineLevel="1"/>
    <col min="24" max="24" width="11.6640625" style="2" hidden="1" customWidth="1" outlineLevel="1"/>
    <col min="25" max="25" width="11.6640625" style="2" customWidth="1" collapsed="1"/>
    <col min="26" max="28" width="11.6640625" style="65" hidden="1" customWidth="1" outlineLevel="1"/>
    <col min="29" max="29" width="11.6640625" style="2" hidden="1" customWidth="1" outlineLevel="1"/>
    <col min="30" max="30" width="11.6640625" style="2" customWidth="1" collapsed="1"/>
    <col min="31" max="34" width="11.6640625" style="65" hidden="1" customWidth="1" outlineLevel="1"/>
    <col min="35" max="35" width="11.6640625" style="2" customWidth="1" collapsed="1"/>
    <col min="36" max="39" width="11.6640625" style="65" hidden="1" customWidth="1" outlineLevel="1"/>
    <col min="40" max="40" width="11.6640625" style="2" customWidth="1" collapsed="1"/>
    <col min="41" max="44" width="11.6640625" style="65" hidden="1" customWidth="1" outlineLevel="1"/>
    <col min="45" max="45" width="11.6640625" style="2" customWidth="1" collapsed="1"/>
    <col min="46" max="49" width="11.6640625" style="65" customWidth="1" outlineLevel="1"/>
    <col min="50" max="50" width="11.6640625" style="2" customWidth="1"/>
    <col min="51" max="51" width="11.6640625" style="65" customWidth="1" outlineLevel="1"/>
    <col min="52" max="106" width="8.88671875" style="2" customWidth="1"/>
    <col min="107" max="16383" width="8.44140625" style="2" hidden="1"/>
    <col min="16384" max="16384" width="3.44140625" style="2" customWidth="1"/>
  </cols>
  <sheetData>
    <row r="1" spans="1:51" ht="18">
      <c r="A1" s="53" t="s">
        <v>15</v>
      </c>
      <c r="AF1" s="65" t="s">
        <v>19</v>
      </c>
      <c r="AG1" s="65" t="s">
        <v>19</v>
      </c>
    </row>
    <row r="2" spans="1:51" ht="14.4">
      <c r="A2" s="56" t="s">
        <v>97</v>
      </c>
    </row>
    <row r="3" spans="1:51" ht="14.4">
      <c r="A3" s="56" t="s">
        <v>98</v>
      </c>
    </row>
    <row r="4" spans="1:51" ht="13.8">
      <c r="A4" s="66"/>
      <c r="R4" s="67" t="s">
        <v>19</v>
      </c>
      <c r="S4" s="67" t="s">
        <v>19</v>
      </c>
      <c r="T4" s="67" t="s">
        <v>19</v>
      </c>
      <c r="U4" s="67" t="s">
        <v>19</v>
      </c>
      <c r="V4" s="67" t="s">
        <v>19</v>
      </c>
      <c r="W4" s="67" t="s">
        <v>19</v>
      </c>
      <c r="X4" s="67" t="s">
        <v>19</v>
      </c>
      <c r="Y4" s="67" t="s">
        <v>19</v>
      </c>
      <c r="Z4" s="67" t="s">
        <v>19</v>
      </c>
      <c r="AA4" s="67" t="s">
        <v>19</v>
      </c>
      <c r="AB4" s="67" t="s">
        <v>19</v>
      </c>
      <c r="AC4" s="67" t="s">
        <v>19</v>
      </c>
      <c r="AD4" s="67" t="s">
        <v>19</v>
      </c>
      <c r="AE4" s="67" t="s">
        <v>19</v>
      </c>
      <c r="AF4" s="67"/>
      <c r="AG4" s="67"/>
      <c r="AH4" s="67"/>
      <c r="AI4" s="67" t="s">
        <v>19</v>
      </c>
      <c r="AJ4" s="67" t="s">
        <v>19</v>
      </c>
      <c r="AK4" s="67"/>
      <c r="AL4" s="67"/>
      <c r="AM4" s="67"/>
      <c r="AN4" s="67"/>
      <c r="AO4" s="67" t="s">
        <v>19</v>
      </c>
      <c r="AP4" s="67" t="s">
        <v>19</v>
      </c>
      <c r="AQ4" s="67" t="s">
        <v>19</v>
      </c>
      <c r="AR4" s="67"/>
      <c r="AS4" s="67"/>
      <c r="AT4" s="67" t="s">
        <v>19</v>
      </c>
      <c r="AU4" s="67"/>
      <c r="AV4" s="67" t="s">
        <v>14</v>
      </c>
      <c r="AW4" s="67"/>
      <c r="AX4" s="67"/>
      <c r="AY4" s="67"/>
    </row>
    <row r="5" spans="1:51" ht="15.6">
      <c r="A5" s="60" t="s">
        <v>99</v>
      </c>
      <c r="C5" s="65"/>
      <c r="F5" s="65"/>
      <c r="J5" s="65"/>
      <c r="K5" s="65"/>
      <c r="O5" s="65"/>
      <c r="P5" s="65"/>
      <c r="Q5" s="65"/>
      <c r="T5" s="65"/>
      <c r="X5" s="65"/>
      <c r="Y5" s="65"/>
      <c r="AC5" s="65"/>
      <c r="AD5" s="65"/>
      <c r="AI5" s="65"/>
      <c r="AN5" s="65"/>
      <c r="AR5" s="257"/>
      <c r="AS5" s="65"/>
      <c r="AW5" s="257"/>
      <c r="AX5" s="65"/>
      <c r="AY5" s="257"/>
    </row>
    <row r="6" spans="1:51" s="168" customFormat="1" ht="35.25" customHeight="1" thickBot="1">
      <c r="A6" s="189"/>
      <c r="C6" s="180"/>
      <c r="D6" s="155" t="s">
        <v>20</v>
      </c>
      <c r="E6" s="155" t="s">
        <v>20</v>
      </c>
      <c r="F6" s="155" t="s">
        <v>20</v>
      </c>
      <c r="G6" s="155" t="s">
        <v>20</v>
      </c>
      <c r="H6" s="155" t="s">
        <v>20</v>
      </c>
      <c r="I6" s="155" t="s">
        <v>20</v>
      </c>
      <c r="J6" s="155" t="s">
        <v>20</v>
      </c>
      <c r="K6" s="155" t="s">
        <v>20</v>
      </c>
      <c r="L6" s="155" t="s">
        <v>20</v>
      </c>
      <c r="M6" s="155" t="s">
        <v>20</v>
      </c>
      <c r="N6" s="155" t="s">
        <v>20</v>
      </c>
      <c r="O6" s="180"/>
      <c r="P6" s="180"/>
      <c r="Q6" s="180"/>
      <c r="R6" s="155" t="s">
        <v>21</v>
      </c>
      <c r="S6" s="155" t="s">
        <v>21</v>
      </c>
      <c r="T6" s="155" t="s">
        <v>21</v>
      </c>
      <c r="U6" s="155" t="s">
        <v>21</v>
      </c>
      <c r="V6" s="155" t="s">
        <v>21</v>
      </c>
      <c r="W6" s="155" t="s">
        <v>21</v>
      </c>
      <c r="X6" s="155" t="s">
        <v>21</v>
      </c>
      <c r="Y6" s="155" t="s">
        <v>21</v>
      </c>
      <c r="Z6" s="155" t="s">
        <v>21</v>
      </c>
      <c r="AA6" s="155" t="s">
        <v>21</v>
      </c>
      <c r="AB6" s="155" t="s">
        <v>21</v>
      </c>
      <c r="AC6" s="180"/>
      <c r="AD6" s="155"/>
      <c r="AE6" s="155" t="s">
        <v>19</v>
      </c>
      <c r="AF6" s="155"/>
      <c r="AG6" s="155"/>
      <c r="AH6" s="155"/>
      <c r="AI6" s="155"/>
      <c r="AJ6" s="155" t="s">
        <v>19</v>
      </c>
      <c r="AK6" s="155" t="s">
        <v>19</v>
      </c>
      <c r="AL6" s="155" t="s">
        <v>19</v>
      </c>
      <c r="AM6" s="155"/>
      <c r="AN6" s="155" t="s">
        <v>19</v>
      </c>
      <c r="AO6" s="155" t="s">
        <v>19</v>
      </c>
      <c r="AP6" s="155" t="s">
        <v>19</v>
      </c>
      <c r="AQ6" s="155" t="s">
        <v>19</v>
      </c>
      <c r="AR6" s="258"/>
      <c r="AS6" s="155" t="s">
        <v>19</v>
      </c>
      <c r="AT6" s="155" t="s">
        <v>19</v>
      </c>
      <c r="AU6" s="155"/>
      <c r="AV6" s="155"/>
      <c r="AW6" s="258"/>
      <c r="AX6" s="155"/>
      <c r="AY6" s="258"/>
    </row>
    <row r="7" spans="1:51" s="190" customFormat="1" ht="26.25" customHeight="1" thickBot="1">
      <c r="C7" s="191"/>
      <c r="D7" s="160" t="s">
        <v>310</v>
      </c>
      <c r="E7" s="160" t="s">
        <v>311</v>
      </c>
      <c r="F7" s="159" t="s">
        <v>100</v>
      </c>
      <c r="G7" s="160" t="s">
        <v>312</v>
      </c>
      <c r="H7" s="160" t="s">
        <v>313</v>
      </c>
      <c r="I7" s="160" t="s">
        <v>314</v>
      </c>
      <c r="J7" s="160" t="s">
        <v>315</v>
      </c>
      <c r="K7" s="159" t="s">
        <v>101</v>
      </c>
      <c r="L7" s="160" t="s">
        <v>316</v>
      </c>
      <c r="M7" s="160" t="s">
        <v>317</v>
      </c>
      <c r="N7" s="160" t="s">
        <v>318</v>
      </c>
      <c r="Q7" s="191"/>
      <c r="R7" s="160" t="s">
        <v>310</v>
      </c>
      <c r="S7" s="160" t="s">
        <v>311</v>
      </c>
      <c r="T7" s="159" t="s">
        <v>100</v>
      </c>
      <c r="U7" s="160" t="s">
        <v>312</v>
      </c>
      <c r="V7" s="160" t="s">
        <v>313</v>
      </c>
      <c r="W7" s="160" t="s">
        <v>314</v>
      </c>
      <c r="X7" s="160" t="s">
        <v>315</v>
      </c>
      <c r="Y7" s="159" t="s">
        <v>101</v>
      </c>
      <c r="Z7" s="160" t="s">
        <v>316</v>
      </c>
      <c r="AA7" s="160" t="s">
        <v>317</v>
      </c>
      <c r="AB7" s="160" t="s">
        <v>318</v>
      </c>
      <c r="AC7" s="160" t="s">
        <v>319</v>
      </c>
      <c r="AD7" s="159" t="s">
        <v>102</v>
      </c>
      <c r="AE7" s="160" t="s">
        <v>325</v>
      </c>
      <c r="AF7" s="160" t="s">
        <v>326</v>
      </c>
      <c r="AG7" s="160" t="s">
        <v>327</v>
      </c>
      <c r="AH7" s="160" t="s">
        <v>337</v>
      </c>
      <c r="AI7" s="159" t="s">
        <v>103</v>
      </c>
      <c r="AJ7" s="160" t="s">
        <v>322</v>
      </c>
      <c r="AK7" s="160" t="s">
        <v>323</v>
      </c>
      <c r="AL7" s="160" t="s">
        <v>324</v>
      </c>
      <c r="AM7" s="160" t="s">
        <v>338</v>
      </c>
      <c r="AN7" s="159" t="s">
        <v>104</v>
      </c>
      <c r="AO7" s="160" t="s">
        <v>320</v>
      </c>
      <c r="AP7" s="160" t="s">
        <v>321</v>
      </c>
      <c r="AQ7" s="160" t="s">
        <v>329</v>
      </c>
      <c r="AR7" s="160" t="s">
        <v>339</v>
      </c>
      <c r="AS7" s="159" t="s">
        <v>333</v>
      </c>
      <c r="AT7" s="160" t="s">
        <v>341</v>
      </c>
      <c r="AU7" s="160" t="s">
        <v>360</v>
      </c>
      <c r="AV7" s="160" t="s">
        <v>350</v>
      </c>
      <c r="AW7" s="160" t="s">
        <v>368</v>
      </c>
      <c r="AX7" s="159" t="s">
        <v>369</v>
      </c>
      <c r="AY7" s="160" t="s">
        <v>385</v>
      </c>
    </row>
    <row r="8" spans="1:51" s="168" customFormat="1" ht="13.8">
      <c r="C8" s="192"/>
      <c r="D8" s="193"/>
      <c r="E8" s="193"/>
      <c r="F8" s="196"/>
      <c r="G8" s="193"/>
      <c r="H8" s="193"/>
      <c r="I8" s="193"/>
      <c r="K8" s="196"/>
      <c r="L8" s="193"/>
      <c r="M8" s="193"/>
      <c r="N8" s="193"/>
      <c r="Q8" s="192"/>
      <c r="R8" s="193"/>
      <c r="S8" s="193"/>
      <c r="T8" s="196"/>
      <c r="U8" s="193"/>
      <c r="V8" s="193"/>
      <c r="W8" s="193"/>
      <c r="Y8" s="196"/>
      <c r="Z8" s="193"/>
      <c r="AA8" s="193"/>
      <c r="AB8" s="193"/>
      <c r="AD8" s="196"/>
      <c r="AE8" s="193"/>
      <c r="AF8" s="193"/>
      <c r="AG8" s="193"/>
      <c r="AH8" s="193"/>
      <c r="AI8" s="196"/>
      <c r="AJ8" s="193"/>
      <c r="AK8" s="193"/>
      <c r="AL8" s="193"/>
      <c r="AM8" s="193"/>
      <c r="AN8" s="196"/>
      <c r="AO8" s="193"/>
      <c r="AP8" s="193"/>
      <c r="AQ8" s="193"/>
      <c r="AR8" s="193"/>
      <c r="AS8" s="196"/>
      <c r="AT8" s="193"/>
      <c r="AU8" s="193"/>
      <c r="AV8" s="193"/>
      <c r="AW8" s="193"/>
      <c r="AX8" s="196"/>
      <c r="AY8" s="193"/>
    </row>
    <row r="9" spans="1:51" s="168" customFormat="1" ht="13.8">
      <c r="A9" s="168" t="s">
        <v>105</v>
      </c>
      <c r="C9" s="168" t="s">
        <v>45</v>
      </c>
      <c r="D9" s="169">
        <v>338393</v>
      </c>
      <c r="E9" s="169">
        <v>386289</v>
      </c>
      <c r="F9" s="197">
        <v>1152324</v>
      </c>
      <c r="G9" s="169">
        <v>393167</v>
      </c>
      <c r="H9" s="169">
        <v>410382</v>
      </c>
      <c r="I9" s="169">
        <v>383030</v>
      </c>
      <c r="J9" s="169">
        <v>399643</v>
      </c>
      <c r="K9" s="197">
        <v>1586222</v>
      </c>
      <c r="L9" s="169">
        <v>403765</v>
      </c>
      <c r="M9" s="169">
        <v>390160</v>
      </c>
      <c r="N9" s="169">
        <v>372917</v>
      </c>
      <c r="Q9" s="168" t="s">
        <v>45</v>
      </c>
      <c r="R9" s="169">
        <v>338393</v>
      </c>
      <c r="S9" s="169">
        <v>379856</v>
      </c>
      <c r="T9" s="197">
        <v>1145891</v>
      </c>
      <c r="U9" s="169">
        <v>393167</v>
      </c>
      <c r="V9" s="169">
        <v>410382</v>
      </c>
      <c r="W9" s="169">
        <v>383030</v>
      </c>
      <c r="X9" s="169">
        <v>399643</v>
      </c>
      <c r="Y9" s="197">
        <v>1586222</v>
      </c>
      <c r="Z9" s="169">
        <v>404357</v>
      </c>
      <c r="AA9" s="169">
        <v>390849</v>
      </c>
      <c r="AB9" s="169">
        <v>373545</v>
      </c>
      <c r="AC9" s="169">
        <v>393586</v>
      </c>
      <c r="AD9" s="197">
        <v>1562337</v>
      </c>
      <c r="AE9" s="169">
        <v>365451</v>
      </c>
      <c r="AF9" s="169">
        <v>307722</v>
      </c>
      <c r="AG9" s="169">
        <v>305280</v>
      </c>
      <c r="AH9" s="169">
        <v>314109</v>
      </c>
      <c r="AI9" s="197">
        <v>1292562</v>
      </c>
      <c r="AJ9" s="169">
        <v>300056</v>
      </c>
      <c r="AK9" s="169">
        <v>293009</v>
      </c>
      <c r="AL9" s="169">
        <v>279229</v>
      </c>
      <c r="AM9" s="169">
        <v>294312</v>
      </c>
      <c r="AN9" s="197">
        <v>1166606</v>
      </c>
      <c r="AO9" s="169">
        <v>279398</v>
      </c>
      <c r="AP9" s="169">
        <v>266770</v>
      </c>
      <c r="AQ9" s="169">
        <v>264038</v>
      </c>
      <c r="AR9" s="169">
        <v>266951</v>
      </c>
      <c r="AS9" s="197">
        <v>1077157</v>
      </c>
      <c r="AT9" s="169">
        <v>273620</v>
      </c>
      <c r="AU9" s="169">
        <v>272938</v>
      </c>
      <c r="AV9" s="169">
        <v>253125</v>
      </c>
      <c r="AW9" s="169">
        <v>264441.23857027898</v>
      </c>
      <c r="AX9" s="197">
        <f>SUM(AT9:AW9)</f>
        <v>1064124.238570279</v>
      </c>
      <c r="AY9" s="169">
        <v>258811</v>
      </c>
    </row>
    <row r="10" spans="1:51" s="168" customFormat="1" ht="13.8">
      <c r="A10" s="170" t="s">
        <v>106</v>
      </c>
      <c r="D10" s="171">
        <v>255116</v>
      </c>
      <c r="E10" s="171">
        <v>289901</v>
      </c>
      <c r="F10" s="198">
        <v>829143</v>
      </c>
      <c r="G10" s="172">
        <v>293792</v>
      </c>
      <c r="H10" s="172">
        <v>313954</v>
      </c>
      <c r="I10" s="172">
        <v>295936</v>
      </c>
      <c r="J10" s="172">
        <v>306192</v>
      </c>
      <c r="K10" s="198">
        <v>1209874</v>
      </c>
      <c r="L10" s="172">
        <v>306882</v>
      </c>
      <c r="M10" s="172">
        <v>298006</v>
      </c>
      <c r="N10" s="172">
        <v>291222</v>
      </c>
      <c r="R10" s="171">
        <v>255116</v>
      </c>
      <c r="S10" s="171">
        <v>288302</v>
      </c>
      <c r="T10" s="198">
        <v>827544</v>
      </c>
      <c r="U10" s="171">
        <v>294897</v>
      </c>
      <c r="V10" s="171">
        <v>315167</v>
      </c>
      <c r="W10" s="171">
        <v>296685</v>
      </c>
      <c r="X10" s="171">
        <v>306654</v>
      </c>
      <c r="Y10" s="198">
        <v>1213403</v>
      </c>
      <c r="Z10" s="171">
        <v>310601</v>
      </c>
      <c r="AA10" s="171">
        <v>303831</v>
      </c>
      <c r="AB10" s="171">
        <v>295445</v>
      </c>
      <c r="AC10" s="171">
        <v>314858</v>
      </c>
      <c r="AD10" s="198">
        <v>1224735</v>
      </c>
      <c r="AE10" s="171">
        <v>292539</v>
      </c>
      <c r="AF10" s="171">
        <v>241788</v>
      </c>
      <c r="AG10" s="171">
        <v>234222</v>
      </c>
      <c r="AH10" s="171">
        <v>254995</v>
      </c>
      <c r="AI10" s="198">
        <v>1023544</v>
      </c>
      <c r="AJ10" s="171">
        <v>232587</v>
      </c>
      <c r="AK10" s="171">
        <v>209080</v>
      </c>
      <c r="AL10" s="171">
        <v>211731</v>
      </c>
      <c r="AM10" s="171">
        <v>235697</v>
      </c>
      <c r="AN10" s="198">
        <v>889095</v>
      </c>
      <c r="AO10" s="171">
        <v>223504</v>
      </c>
      <c r="AP10" s="171">
        <v>217277</v>
      </c>
      <c r="AQ10" s="171">
        <v>217842</v>
      </c>
      <c r="AR10" s="171">
        <v>218851</v>
      </c>
      <c r="AS10" s="198">
        <v>877474</v>
      </c>
      <c r="AT10" s="171">
        <v>216467</v>
      </c>
      <c r="AU10" s="171">
        <v>212059</v>
      </c>
      <c r="AV10" s="171">
        <v>198450</v>
      </c>
      <c r="AW10" s="171">
        <v>206446.4428320516</v>
      </c>
      <c r="AX10" s="198">
        <f t="shared" ref="AX10:AX14" si="0">SUM(AT10:AW10)</f>
        <v>833422.44283205154</v>
      </c>
      <c r="AY10" s="171">
        <v>201988</v>
      </c>
    </row>
    <row r="11" spans="1:51" s="168" customFormat="1" ht="13.8">
      <c r="A11" s="170" t="s">
        <v>107</v>
      </c>
      <c r="C11" s="172"/>
      <c r="D11" s="169">
        <v>102048</v>
      </c>
      <c r="E11" s="171">
        <v>48328</v>
      </c>
      <c r="F11" s="197">
        <v>220955</v>
      </c>
      <c r="G11" s="169">
        <v>45595</v>
      </c>
      <c r="H11" s="169">
        <v>46723</v>
      </c>
      <c r="I11" s="169">
        <v>44913</v>
      </c>
      <c r="J11" s="169">
        <v>47420</v>
      </c>
      <c r="K11" s="197">
        <v>184651</v>
      </c>
      <c r="L11" s="169">
        <v>49949</v>
      </c>
      <c r="M11" s="169">
        <v>51564</v>
      </c>
      <c r="N11" s="169">
        <v>50372</v>
      </c>
      <c r="Q11" s="172"/>
      <c r="R11" s="169">
        <v>102048</v>
      </c>
      <c r="S11" s="169">
        <v>48329</v>
      </c>
      <c r="T11" s="197">
        <v>220955</v>
      </c>
      <c r="U11" s="169">
        <v>45519</v>
      </c>
      <c r="V11" s="169">
        <v>46378</v>
      </c>
      <c r="W11" s="169">
        <v>44897</v>
      </c>
      <c r="X11" s="169">
        <v>48114</v>
      </c>
      <c r="Y11" s="197">
        <v>184908</v>
      </c>
      <c r="Z11" s="169">
        <v>49677</v>
      </c>
      <c r="AA11" s="169">
        <v>51162</v>
      </c>
      <c r="AB11" s="169">
        <v>48347</v>
      </c>
      <c r="AC11" s="169">
        <v>49678</v>
      </c>
      <c r="AD11" s="197">
        <v>198864</v>
      </c>
      <c r="AE11" s="169">
        <v>50374</v>
      </c>
      <c r="AF11" s="169">
        <v>47014</v>
      </c>
      <c r="AG11" s="169">
        <v>42837</v>
      </c>
      <c r="AH11" s="169">
        <v>45879</v>
      </c>
      <c r="AI11" s="197">
        <v>186104</v>
      </c>
      <c r="AJ11" s="169">
        <v>41885</v>
      </c>
      <c r="AK11" s="169">
        <v>36390</v>
      </c>
      <c r="AL11" s="169">
        <v>43244</v>
      </c>
      <c r="AM11" s="169">
        <v>48262</v>
      </c>
      <c r="AN11" s="197">
        <v>169781</v>
      </c>
      <c r="AO11" s="169">
        <v>43040</v>
      </c>
      <c r="AP11" s="169">
        <v>50195</v>
      </c>
      <c r="AQ11" s="169">
        <v>44369</v>
      </c>
      <c r="AR11" s="169">
        <v>38920</v>
      </c>
      <c r="AS11" s="197">
        <v>176524</v>
      </c>
      <c r="AT11" s="169">
        <v>44381</v>
      </c>
      <c r="AU11" s="169">
        <v>32026</v>
      </c>
      <c r="AV11" s="169">
        <v>35367</v>
      </c>
      <c r="AW11" s="169">
        <v>38897.890924781503</v>
      </c>
      <c r="AX11" s="197">
        <f t="shared" si="0"/>
        <v>150671.8909247815</v>
      </c>
      <c r="AY11" s="169">
        <v>40854</v>
      </c>
    </row>
    <row r="12" spans="1:51" s="168" customFormat="1" ht="13.8">
      <c r="A12" s="170" t="s">
        <v>108</v>
      </c>
      <c r="D12" s="171">
        <v>28052</v>
      </c>
      <c r="E12" s="171">
        <v>28112</v>
      </c>
      <c r="F12" s="198">
        <v>98890</v>
      </c>
      <c r="G12" s="172">
        <v>38019</v>
      </c>
      <c r="H12" s="172">
        <v>36368</v>
      </c>
      <c r="I12" s="172">
        <v>35041</v>
      </c>
      <c r="J12" s="172">
        <v>36057</v>
      </c>
      <c r="K12" s="198">
        <v>145485</v>
      </c>
      <c r="L12" s="172">
        <v>28020</v>
      </c>
      <c r="M12" s="172">
        <v>27191</v>
      </c>
      <c r="N12" s="172">
        <v>27114</v>
      </c>
      <c r="R12" s="171">
        <v>28052</v>
      </c>
      <c r="S12" s="171">
        <v>97548</v>
      </c>
      <c r="T12" s="198">
        <v>98890</v>
      </c>
      <c r="U12" s="171">
        <v>36239</v>
      </c>
      <c r="V12" s="171">
        <v>34744</v>
      </c>
      <c r="W12" s="171">
        <v>33410</v>
      </c>
      <c r="X12" s="171">
        <v>33684</v>
      </c>
      <c r="Y12" s="198">
        <v>138077</v>
      </c>
      <c r="Z12" s="171">
        <v>26624</v>
      </c>
      <c r="AA12" s="171">
        <v>24779</v>
      </c>
      <c r="AB12" s="171">
        <v>25079</v>
      </c>
      <c r="AC12" s="171">
        <v>24421</v>
      </c>
      <c r="AD12" s="198">
        <v>100903</v>
      </c>
      <c r="AE12" s="171">
        <v>23185</v>
      </c>
      <c r="AF12" s="171">
        <v>22847</v>
      </c>
      <c r="AG12" s="171">
        <v>22095</v>
      </c>
      <c r="AH12" s="171">
        <v>25826</v>
      </c>
      <c r="AI12" s="198">
        <v>93953</v>
      </c>
      <c r="AJ12" s="171">
        <v>19599</v>
      </c>
      <c r="AK12" s="171">
        <v>19420</v>
      </c>
      <c r="AL12" s="171">
        <v>19094</v>
      </c>
      <c r="AM12" s="171">
        <v>19037</v>
      </c>
      <c r="AN12" s="198">
        <v>77150</v>
      </c>
      <c r="AO12" s="171">
        <v>18212</v>
      </c>
      <c r="AP12" s="171">
        <v>17993</v>
      </c>
      <c r="AQ12" s="171">
        <v>17737</v>
      </c>
      <c r="AR12" s="171">
        <v>17889</v>
      </c>
      <c r="AS12" s="198">
        <v>71831</v>
      </c>
      <c r="AT12" s="171">
        <v>16560</v>
      </c>
      <c r="AU12" s="171">
        <v>14890</v>
      </c>
      <c r="AV12" s="171">
        <v>14398</v>
      </c>
      <c r="AW12" s="171">
        <v>14686.9252937529</v>
      </c>
      <c r="AX12" s="198">
        <f t="shared" si="0"/>
        <v>60534.925293752902</v>
      </c>
      <c r="AY12" s="171">
        <v>13507</v>
      </c>
    </row>
    <row r="13" spans="1:51" s="168" customFormat="1" ht="13.8">
      <c r="A13" s="170" t="s">
        <v>109</v>
      </c>
      <c r="D13" s="171">
        <v>0</v>
      </c>
      <c r="E13" s="171">
        <v>69437</v>
      </c>
      <c r="F13" s="197">
        <v>69437</v>
      </c>
      <c r="G13" s="169">
        <v>0</v>
      </c>
      <c r="H13" s="169">
        <v>0</v>
      </c>
      <c r="I13" s="169">
        <v>0</v>
      </c>
      <c r="J13" s="169">
        <v>48127</v>
      </c>
      <c r="K13" s="197">
        <v>48127.063679999999</v>
      </c>
      <c r="L13" s="169">
        <v>0</v>
      </c>
      <c r="M13" s="169">
        <v>0</v>
      </c>
      <c r="N13" s="169">
        <v>99682</v>
      </c>
      <c r="R13" s="171">
        <v>0</v>
      </c>
      <c r="S13" s="171">
        <v>0</v>
      </c>
      <c r="T13" s="197">
        <v>69437</v>
      </c>
      <c r="U13" s="171">
        <v>0</v>
      </c>
      <c r="V13" s="171">
        <v>0</v>
      </c>
      <c r="W13" s="171">
        <v>0</v>
      </c>
      <c r="X13" s="171">
        <v>48127</v>
      </c>
      <c r="Y13" s="197">
        <v>48127</v>
      </c>
      <c r="Z13" s="171">
        <v>0</v>
      </c>
      <c r="AA13" s="171">
        <v>0</v>
      </c>
      <c r="AB13" s="171">
        <v>97158</v>
      </c>
      <c r="AC13" s="171">
        <v>252399</v>
      </c>
      <c r="AD13" s="197">
        <v>349557</v>
      </c>
      <c r="AE13" s="171">
        <v>0</v>
      </c>
      <c r="AF13" s="171">
        <v>0</v>
      </c>
      <c r="AG13" s="171">
        <v>0</v>
      </c>
      <c r="AH13" s="171">
        <v>0</v>
      </c>
      <c r="AI13" s="197">
        <v>0</v>
      </c>
      <c r="AJ13" s="171">
        <v>0</v>
      </c>
      <c r="AK13" s="171">
        <v>0</v>
      </c>
      <c r="AL13" s="171">
        <v>0</v>
      </c>
      <c r="AM13" s="171">
        <v>0</v>
      </c>
      <c r="AN13" s="197">
        <v>0</v>
      </c>
      <c r="AO13" s="171">
        <v>0</v>
      </c>
      <c r="AP13" s="171">
        <v>0</v>
      </c>
      <c r="AQ13" s="171">
        <v>29565</v>
      </c>
      <c r="AR13" s="171">
        <v>141617</v>
      </c>
      <c r="AS13" s="197">
        <v>171182</v>
      </c>
      <c r="AT13" s="171">
        <v>0</v>
      </c>
      <c r="AU13" s="171">
        <v>0</v>
      </c>
      <c r="AV13" s="171">
        <v>0</v>
      </c>
      <c r="AW13" s="171">
        <v>0</v>
      </c>
      <c r="AX13" s="197">
        <f t="shared" si="0"/>
        <v>0</v>
      </c>
      <c r="AY13" s="171">
        <v>0</v>
      </c>
    </row>
    <row r="14" spans="1:51" s="168" customFormat="1" ht="14.4" thickBot="1">
      <c r="A14" s="170" t="s">
        <v>110</v>
      </c>
      <c r="C14" s="173"/>
      <c r="D14" s="174">
        <v>26892</v>
      </c>
      <c r="E14" s="174">
        <v>1698</v>
      </c>
      <c r="F14" s="199">
        <v>33431</v>
      </c>
      <c r="G14" s="175">
        <v>1105</v>
      </c>
      <c r="H14" s="175">
        <v>1402</v>
      </c>
      <c r="I14" s="175">
        <v>759</v>
      </c>
      <c r="J14" s="175">
        <v>1068</v>
      </c>
      <c r="K14" s="199">
        <v>4334</v>
      </c>
      <c r="L14" s="175">
        <v>994</v>
      </c>
      <c r="M14" s="175">
        <v>1055</v>
      </c>
      <c r="N14" s="175">
        <v>1405</v>
      </c>
      <c r="Q14" s="173"/>
      <c r="R14" s="174">
        <v>26892</v>
      </c>
      <c r="S14" s="174">
        <v>1698</v>
      </c>
      <c r="T14" s="199">
        <v>33431</v>
      </c>
      <c r="U14" s="174">
        <v>1181</v>
      </c>
      <c r="V14" s="174">
        <v>6783</v>
      </c>
      <c r="W14" s="174">
        <v>775</v>
      </c>
      <c r="X14" s="174">
        <v>3664</v>
      </c>
      <c r="Y14" s="199">
        <v>12403</v>
      </c>
      <c r="Z14" s="174">
        <v>998</v>
      </c>
      <c r="AA14" s="174">
        <v>5331</v>
      </c>
      <c r="AB14" s="174">
        <v>1430</v>
      </c>
      <c r="AC14" s="174">
        <v>1742</v>
      </c>
      <c r="AD14" s="199">
        <v>9501</v>
      </c>
      <c r="AE14" s="174">
        <v>1551</v>
      </c>
      <c r="AF14" s="174">
        <v>1146</v>
      </c>
      <c r="AG14" s="174">
        <v>1360</v>
      </c>
      <c r="AH14" s="174">
        <v>1324</v>
      </c>
      <c r="AI14" s="199">
        <v>5381</v>
      </c>
      <c r="AJ14" s="174">
        <v>1707</v>
      </c>
      <c r="AK14" s="174">
        <v>2748</v>
      </c>
      <c r="AL14" s="174">
        <v>2744</v>
      </c>
      <c r="AM14" s="174">
        <v>1992</v>
      </c>
      <c r="AN14" s="199">
        <v>9191</v>
      </c>
      <c r="AO14" s="174">
        <v>1987</v>
      </c>
      <c r="AP14" s="174">
        <v>2186</v>
      </c>
      <c r="AQ14" s="174">
        <v>2016</v>
      </c>
      <c r="AR14" s="174">
        <v>2734</v>
      </c>
      <c r="AS14" s="199">
        <v>8923</v>
      </c>
      <c r="AT14" s="174">
        <v>3112</v>
      </c>
      <c r="AU14" s="174">
        <v>2739</v>
      </c>
      <c r="AV14" s="174">
        <v>2845</v>
      </c>
      <c r="AW14" s="174">
        <v>2748.4225300000003</v>
      </c>
      <c r="AX14" s="199">
        <f t="shared" si="0"/>
        <v>11444.42253</v>
      </c>
      <c r="AY14" s="174">
        <v>2391</v>
      </c>
    </row>
    <row r="15" spans="1:51" s="168" customFormat="1" ht="13.8">
      <c r="A15" s="176" t="s">
        <v>111</v>
      </c>
      <c r="B15" s="177"/>
      <c r="C15" s="178"/>
      <c r="D15" s="179">
        <v>-73715</v>
      </c>
      <c r="E15" s="179">
        <v>-51187</v>
      </c>
      <c r="F15" s="200">
        <v>-99532</v>
      </c>
      <c r="G15" s="179">
        <v>14656</v>
      </c>
      <c r="H15" s="179">
        <v>11935</v>
      </c>
      <c r="I15" s="179">
        <v>6381</v>
      </c>
      <c r="J15" s="179">
        <v>-39221</v>
      </c>
      <c r="K15" s="200">
        <v>-6249.0636799999993</v>
      </c>
      <c r="L15" s="179">
        <v>17920</v>
      </c>
      <c r="M15" s="179">
        <v>12344</v>
      </c>
      <c r="N15" s="179">
        <v>-96878</v>
      </c>
      <c r="O15" s="177"/>
      <c r="P15" s="177"/>
      <c r="Q15" s="178"/>
      <c r="R15" s="179">
        <f>R9-SUM(R10:R14)</f>
        <v>-73715</v>
      </c>
      <c r="S15" s="179">
        <f>S9-SUM(S10:S14)</f>
        <v>-56021</v>
      </c>
      <c r="T15" s="200">
        <v>-104366</v>
      </c>
      <c r="U15" s="179">
        <v>15331</v>
      </c>
      <c r="V15" s="179">
        <v>7310</v>
      </c>
      <c r="W15" s="179">
        <v>7263</v>
      </c>
      <c r="X15" s="179">
        <v>-40600</v>
      </c>
      <c r="Y15" s="200">
        <v>-10696</v>
      </c>
      <c r="Z15" s="179">
        <v>16457</v>
      </c>
      <c r="AA15" s="179">
        <v>5746</v>
      </c>
      <c r="AB15" s="179">
        <v>-93914</v>
      </c>
      <c r="AC15" s="179">
        <v>-249512</v>
      </c>
      <c r="AD15" s="200">
        <v>-321223</v>
      </c>
      <c r="AE15" s="179">
        <v>-2198</v>
      </c>
      <c r="AF15" s="179">
        <v>-5073</v>
      </c>
      <c r="AG15" s="179">
        <v>4766</v>
      </c>
      <c r="AH15" s="179">
        <v>-13915</v>
      </c>
      <c r="AI15" s="200">
        <v>-16420</v>
      </c>
      <c r="AJ15" s="179">
        <v>4278</v>
      </c>
      <c r="AK15" s="179">
        <v>25371</v>
      </c>
      <c r="AL15" s="179">
        <v>2416</v>
      </c>
      <c r="AM15" s="179">
        <v>-10676</v>
      </c>
      <c r="AN15" s="200">
        <v>21389</v>
      </c>
      <c r="AO15" s="179">
        <v>-7345</v>
      </c>
      <c r="AP15" s="179">
        <v>-20881</v>
      </c>
      <c r="AQ15" s="179">
        <v>-47491</v>
      </c>
      <c r="AR15" s="179">
        <v>-153060</v>
      </c>
      <c r="AS15" s="200">
        <v>-228777</v>
      </c>
      <c r="AT15" s="179">
        <f t="shared" ref="AT15:AV15" si="1">AT9-SUM(AT10:AT14)</f>
        <v>-6900</v>
      </c>
      <c r="AU15" s="179">
        <f t="shared" si="1"/>
        <v>11224</v>
      </c>
      <c r="AV15" s="179">
        <f t="shared" si="1"/>
        <v>2065</v>
      </c>
      <c r="AW15" s="179">
        <f t="shared" ref="AW15:AX15" si="2">AW9-SUM(AW10:AW14)</f>
        <v>1661.5569896929665</v>
      </c>
      <c r="AX15" s="200">
        <f t="shared" si="2"/>
        <v>8050.55698969285</v>
      </c>
      <c r="AY15" s="179">
        <f t="shared" ref="AY15" si="3">AY9-SUM(AY10:AY14)</f>
        <v>71</v>
      </c>
    </row>
    <row r="16" spans="1:51" s="168" customFormat="1" ht="13.8">
      <c r="A16" s="176" t="s">
        <v>112</v>
      </c>
      <c r="D16" s="180"/>
      <c r="E16" s="180"/>
      <c r="F16" s="196"/>
      <c r="G16" s="180"/>
      <c r="H16" s="180"/>
      <c r="I16" s="180"/>
      <c r="J16" s="180"/>
      <c r="K16" s="196"/>
      <c r="L16" s="180"/>
      <c r="M16" s="180"/>
      <c r="N16" s="169"/>
      <c r="R16" s="180"/>
      <c r="S16" s="180"/>
      <c r="T16" s="196"/>
      <c r="U16" s="180"/>
      <c r="V16" s="180"/>
      <c r="W16" s="180"/>
      <c r="X16" s="180">
        <v>0</v>
      </c>
      <c r="Y16" s="196"/>
      <c r="Z16" s="180"/>
      <c r="AA16" s="180"/>
      <c r="AB16" s="180"/>
      <c r="AC16" s="180">
        <v>0</v>
      </c>
      <c r="AD16" s="196"/>
      <c r="AE16" s="180"/>
      <c r="AF16" s="180"/>
      <c r="AG16" s="180"/>
      <c r="AH16" s="180"/>
      <c r="AI16" s="196"/>
      <c r="AJ16" s="180"/>
      <c r="AK16" s="180"/>
      <c r="AL16" s="180"/>
      <c r="AM16" s="180"/>
      <c r="AN16" s="196"/>
      <c r="AO16" s="180"/>
      <c r="AP16" s="180"/>
      <c r="AQ16" s="180"/>
      <c r="AR16" s="180"/>
      <c r="AS16" s="196"/>
      <c r="AT16" s="180"/>
      <c r="AU16" s="180"/>
      <c r="AV16" s="180"/>
      <c r="AW16" s="180"/>
      <c r="AX16" s="196"/>
      <c r="AY16" s="180"/>
    </row>
    <row r="17" spans="1:51" s="168" customFormat="1" ht="13.8">
      <c r="A17" s="170" t="s">
        <v>113</v>
      </c>
      <c r="C17" s="172"/>
      <c r="D17" s="169">
        <v>37652</v>
      </c>
      <c r="E17" s="171">
        <v>36749</v>
      </c>
      <c r="F17" s="201">
        <v>128489</v>
      </c>
      <c r="G17" s="171">
        <v>38017</v>
      </c>
      <c r="H17" s="171">
        <v>38527</v>
      </c>
      <c r="I17" s="171">
        <v>38339</v>
      </c>
      <c r="J17" s="171">
        <v>38212</v>
      </c>
      <c r="K17" s="201">
        <v>153095</v>
      </c>
      <c r="L17" s="171">
        <v>38899</v>
      </c>
      <c r="M17" s="171">
        <v>39132</v>
      </c>
      <c r="N17" s="169">
        <v>39747</v>
      </c>
      <c r="Q17" s="172"/>
      <c r="R17" s="169">
        <v>38201</v>
      </c>
      <c r="S17" s="169">
        <v>37388</v>
      </c>
      <c r="T17" s="201">
        <v>129676</v>
      </c>
      <c r="U17" s="169">
        <v>38676</v>
      </c>
      <c r="V17" s="169">
        <v>39229</v>
      </c>
      <c r="W17" s="169">
        <v>39087</v>
      </c>
      <c r="X17" s="169">
        <v>38999</v>
      </c>
      <c r="Y17" s="201">
        <v>155991</v>
      </c>
      <c r="Z17" s="169">
        <v>39701</v>
      </c>
      <c r="AA17" s="169">
        <v>39959</v>
      </c>
      <c r="AB17" s="169">
        <v>40573</v>
      </c>
      <c r="AC17" s="169">
        <v>43216</v>
      </c>
      <c r="AD17" s="201">
        <v>163449</v>
      </c>
      <c r="AE17" s="169">
        <v>41588</v>
      </c>
      <c r="AF17" s="169">
        <v>44440</v>
      </c>
      <c r="AG17" s="169">
        <v>43612</v>
      </c>
      <c r="AH17" s="169">
        <v>44238</v>
      </c>
      <c r="AI17" s="201">
        <v>173878</v>
      </c>
      <c r="AJ17" s="169">
        <v>43131</v>
      </c>
      <c r="AK17" s="169">
        <v>42867</v>
      </c>
      <c r="AL17" s="169">
        <v>41757</v>
      </c>
      <c r="AM17" s="169">
        <v>40293</v>
      </c>
      <c r="AN17" s="201">
        <v>168048</v>
      </c>
      <c r="AO17" s="169">
        <v>39760</v>
      </c>
      <c r="AP17" s="169">
        <v>42271</v>
      </c>
      <c r="AQ17" s="169">
        <v>40897</v>
      </c>
      <c r="AR17" s="169">
        <v>41942</v>
      </c>
      <c r="AS17" s="201">
        <v>164870</v>
      </c>
      <c r="AT17" s="169">
        <v>44180</v>
      </c>
      <c r="AU17" s="169">
        <v>45092</v>
      </c>
      <c r="AV17" s="169">
        <v>24708</v>
      </c>
      <c r="AW17" s="169">
        <v>25675.8147131597</v>
      </c>
      <c r="AX17" s="201">
        <f t="shared" ref="AX17:AX28" si="4">SUM(AT17:AW17)</f>
        <v>139655.81471315969</v>
      </c>
      <c r="AY17" s="169">
        <v>21088</v>
      </c>
    </row>
    <row r="18" spans="1:51" s="168" customFormat="1" ht="13.8">
      <c r="A18" s="170" t="s">
        <v>114</v>
      </c>
      <c r="D18" s="171">
        <v>35512</v>
      </c>
      <c r="E18" s="171">
        <v>0</v>
      </c>
      <c r="F18" s="198">
        <v>35512</v>
      </c>
      <c r="G18" s="171">
        <v>0</v>
      </c>
      <c r="H18" s="171">
        <v>0</v>
      </c>
      <c r="I18" s="171">
        <v>1067</v>
      </c>
      <c r="J18" s="171">
        <v>0</v>
      </c>
      <c r="K18" s="198">
        <v>1067</v>
      </c>
      <c r="L18" s="171">
        <v>0</v>
      </c>
      <c r="M18" s="171">
        <v>1404</v>
      </c>
      <c r="N18" s="169" t="s">
        <v>64</v>
      </c>
      <c r="R18" s="171">
        <v>35512</v>
      </c>
      <c r="S18" s="171">
        <v>0</v>
      </c>
      <c r="T18" s="198">
        <v>35512</v>
      </c>
      <c r="U18" s="171">
        <v>0</v>
      </c>
      <c r="V18" s="171">
        <v>0</v>
      </c>
      <c r="W18" s="171">
        <v>1067</v>
      </c>
      <c r="X18" s="171">
        <v>0</v>
      </c>
      <c r="Y18" s="198">
        <v>1067</v>
      </c>
      <c r="Z18" s="171">
        <v>0</v>
      </c>
      <c r="AA18" s="171">
        <v>1404</v>
      </c>
      <c r="AB18" s="171">
        <v>0</v>
      </c>
      <c r="AC18" s="171">
        <v>0</v>
      </c>
      <c r="AD18" s="198">
        <v>1404</v>
      </c>
      <c r="AE18" s="171">
        <v>0</v>
      </c>
      <c r="AF18" s="171">
        <v>0</v>
      </c>
      <c r="AG18" s="171">
        <v>0</v>
      </c>
      <c r="AH18" s="171">
        <v>9589</v>
      </c>
      <c r="AI18" s="198">
        <v>9589</v>
      </c>
      <c r="AJ18" s="171">
        <v>0</v>
      </c>
      <c r="AK18" s="171">
        <v>0</v>
      </c>
      <c r="AL18" s="171">
        <v>-28070</v>
      </c>
      <c r="AM18" s="171">
        <v>11381</v>
      </c>
      <c r="AN18" s="198">
        <v>-16689</v>
      </c>
      <c r="AO18" s="171">
        <v>884</v>
      </c>
      <c r="AP18" s="171">
        <v>8117</v>
      </c>
      <c r="AQ18" s="171">
        <v>-4696</v>
      </c>
      <c r="AR18" s="171">
        <v>217</v>
      </c>
      <c r="AS18" s="198">
        <v>4522</v>
      </c>
      <c r="AT18" s="171">
        <v>-8773</v>
      </c>
      <c r="AU18" s="171">
        <v>-6785</v>
      </c>
      <c r="AV18" s="171">
        <v>-571</v>
      </c>
      <c r="AW18" s="171">
        <v>0</v>
      </c>
      <c r="AX18" s="198">
        <f t="shared" si="4"/>
        <v>-16129</v>
      </c>
      <c r="AY18" s="171">
        <v>0</v>
      </c>
    </row>
    <row r="19" spans="1:51" s="168" customFormat="1" ht="13.8">
      <c r="A19" s="170" t="s">
        <v>115</v>
      </c>
      <c r="D19" s="171">
        <v>563</v>
      </c>
      <c r="E19" s="171">
        <v>-665</v>
      </c>
      <c r="F19" s="201">
        <v>2295</v>
      </c>
      <c r="G19" s="171">
        <v>-64</v>
      </c>
      <c r="H19" s="171">
        <v>-2325</v>
      </c>
      <c r="I19" s="171">
        <v>-2571</v>
      </c>
      <c r="J19" s="171">
        <v>1689</v>
      </c>
      <c r="K19" s="201">
        <v>-3271.0476689621687</v>
      </c>
      <c r="L19" s="171">
        <v>2531</v>
      </c>
      <c r="M19" s="171">
        <v>-1493</v>
      </c>
      <c r="N19" s="169">
        <v>-10</v>
      </c>
      <c r="R19" s="171">
        <v>562</v>
      </c>
      <c r="S19" s="171">
        <v>-665</v>
      </c>
      <c r="T19" s="201">
        <v>2295</v>
      </c>
      <c r="U19" s="171">
        <v>229</v>
      </c>
      <c r="V19" s="171">
        <v>-2122</v>
      </c>
      <c r="W19" s="171">
        <v>-2283</v>
      </c>
      <c r="X19" s="171">
        <v>905</v>
      </c>
      <c r="Y19" s="201">
        <v>-3271</v>
      </c>
      <c r="Z19" s="171">
        <v>2715</v>
      </c>
      <c r="AA19" s="171">
        <v>-1311</v>
      </c>
      <c r="AB19" s="171">
        <v>165</v>
      </c>
      <c r="AC19" s="171">
        <v>-600</v>
      </c>
      <c r="AD19" s="201">
        <v>969</v>
      </c>
      <c r="AE19" s="171">
        <v>1082</v>
      </c>
      <c r="AF19" s="171">
        <v>-899</v>
      </c>
      <c r="AG19" s="171">
        <v>-434</v>
      </c>
      <c r="AH19" s="171">
        <v>98</v>
      </c>
      <c r="AI19" s="201">
        <v>-153</v>
      </c>
      <c r="AJ19" s="171">
        <v>213</v>
      </c>
      <c r="AK19" s="171">
        <v>-787</v>
      </c>
      <c r="AL19" s="171">
        <v>136</v>
      </c>
      <c r="AM19" s="171">
        <v>801</v>
      </c>
      <c r="AN19" s="201">
        <v>363</v>
      </c>
      <c r="AO19" s="171">
        <v>307</v>
      </c>
      <c r="AP19" s="171">
        <v>-741</v>
      </c>
      <c r="AQ19" s="171">
        <v>781</v>
      </c>
      <c r="AR19" s="171">
        <v>-1304</v>
      </c>
      <c r="AS19" s="201">
        <v>-957</v>
      </c>
      <c r="AT19" s="171">
        <v>748</v>
      </c>
      <c r="AU19" s="171">
        <v>1500</v>
      </c>
      <c r="AV19" s="171">
        <v>298</v>
      </c>
      <c r="AW19" s="171">
        <v>-1573.4070051732001</v>
      </c>
      <c r="AX19" s="201">
        <f t="shared" si="4"/>
        <v>972.5929948267999</v>
      </c>
      <c r="AY19" s="171">
        <v>1881</v>
      </c>
    </row>
    <row r="20" spans="1:51" s="168" customFormat="1" ht="14.4" thickBot="1">
      <c r="A20" s="170" t="s">
        <v>116</v>
      </c>
      <c r="C20" s="173"/>
      <c r="D20" s="174">
        <v>0</v>
      </c>
      <c r="E20" s="174">
        <v>-1297</v>
      </c>
      <c r="F20" s="202">
        <v>-1297</v>
      </c>
      <c r="G20" s="174">
        <v>-3328</v>
      </c>
      <c r="H20" s="174">
        <v>-704</v>
      </c>
      <c r="I20" s="174">
        <v>-781</v>
      </c>
      <c r="J20" s="174">
        <v>1783</v>
      </c>
      <c r="K20" s="202">
        <v>-3030</v>
      </c>
      <c r="L20" s="174">
        <v>1677</v>
      </c>
      <c r="M20" s="174">
        <v>2709</v>
      </c>
      <c r="N20" s="174">
        <v>581</v>
      </c>
      <c r="Q20" s="173"/>
      <c r="R20" s="174">
        <v>0</v>
      </c>
      <c r="S20" s="174">
        <v>-1297</v>
      </c>
      <c r="T20" s="202">
        <v>-1297</v>
      </c>
      <c r="U20" s="174">
        <v>-3621</v>
      </c>
      <c r="V20" s="174">
        <v>-907</v>
      </c>
      <c r="W20" s="174">
        <v>-1069</v>
      </c>
      <c r="X20" s="174">
        <v>2567</v>
      </c>
      <c r="Y20" s="202">
        <v>-3030</v>
      </c>
      <c r="Z20" s="174">
        <v>1493</v>
      </c>
      <c r="AA20" s="174">
        <v>2527</v>
      </c>
      <c r="AB20" s="174">
        <v>406</v>
      </c>
      <c r="AC20" s="174">
        <v>10003</v>
      </c>
      <c r="AD20" s="202">
        <v>14429</v>
      </c>
      <c r="AE20" s="174">
        <v>-34657</v>
      </c>
      <c r="AF20" s="174">
        <v>-584</v>
      </c>
      <c r="AG20" s="174">
        <v>-10414</v>
      </c>
      <c r="AH20" s="174">
        <v>10867</v>
      </c>
      <c r="AI20" s="202">
        <v>-34788</v>
      </c>
      <c r="AJ20" s="174">
        <v>152</v>
      </c>
      <c r="AK20" s="174">
        <v>651</v>
      </c>
      <c r="AL20" s="174">
        <v>366</v>
      </c>
      <c r="AM20" s="174">
        <v>-768</v>
      </c>
      <c r="AN20" s="202">
        <v>401</v>
      </c>
      <c r="AO20" s="174">
        <v>6159</v>
      </c>
      <c r="AP20" s="174">
        <v>7375</v>
      </c>
      <c r="AQ20" s="174">
        <v>-1115</v>
      </c>
      <c r="AR20" s="174">
        <v>1751</v>
      </c>
      <c r="AS20" s="202">
        <v>14170</v>
      </c>
      <c r="AT20" s="174">
        <v>-282</v>
      </c>
      <c r="AU20" s="174">
        <v>-232</v>
      </c>
      <c r="AV20" s="174">
        <v>-1069</v>
      </c>
      <c r="AW20" s="174">
        <v>699.12403569919798</v>
      </c>
      <c r="AX20" s="202">
        <f t="shared" si="4"/>
        <v>-883.87596430080202</v>
      </c>
      <c r="AY20" s="174">
        <v>-451</v>
      </c>
    </row>
    <row r="21" spans="1:51" s="168" customFormat="1" ht="13.8">
      <c r="A21" s="176" t="s">
        <v>117</v>
      </c>
      <c r="D21" s="181">
        <v>-147442</v>
      </c>
      <c r="E21" s="181">
        <v>-85974</v>
      </c>
      <c r="F21" s="203">
        <v>-264531</v>
      </c>
      <c r="G21" s="181">
        <v>-19969</v>
      </c>
      <c r="H21" s="181">
        <v>-23563</v>
      </c>
      <c r="I21" s="181">
        <v>-29673</v>
      </c>
      <c r="J21" s="181">
        <v>-80905</v>
      </c>
      <c r="K21" s="203">
        <v>-154110.01601103783</v>
      </c>
      <c r="L21" s="181">
        <v>-25187</v>
      </c>
      <c r="M21" s="181">
        <v>-29408</v>
      </c>
      <c r="N21" s="179">
        <v>-137196</v>
      </c>
      <c r="R21" s="181">
        <f>R15-SUM(R17:R20)</f>
        <v>-147990</v>
      </c>
      <c r="S21" s="181">
        <f>S15-SUM(S17:S20)</f>
        <v>-91447</v>
      </c>
      <c r="T21" s="203">
        <v>-270552</v>
      </c>
      <c r="U21" s="181">
        <v>-19953</v>
      </c>
      <c r="V21" s="181">
        <v>-28890</v>
      </c>
      <c r="W21" s="181">
        <v>-29539</v>
      </c>
      <c r="X21" s="181">
        <v>-83071</v>
      </c>
      <c r="Y21" s="203">
        <v>-161453</v>
      </c>
      <c r="Z21" s="181">
        <v>-27452</v>
      </c>
      <c r="AA21" s="181">
        <v>-36833</v>
      </c>
      <c r="AB21" s="181">
        <v>-135058</v>
      </c>
      <c r="AC21" s="181">
        <v>-302131</v>
      </c>
      <c r="AD21" s="203">
        <v>-501474</v>
      </c>
      <c r="AE21" s="181">
        <v>-10211</v>
      </c>
      <c r="AF21" s="181">
        <v>-48030</v>
      </c>
      <c r="AG21" s="181">
        <v>-27998</v>
      </c>
      <c r="AH21" s="181">
        <v>-78707</v>
      </c>
      <c r="AI21" s="203">
        <v>-164946</v>
      </c>
      <c r="AJ21" s="181">
        <v>-39218</v>
      </c>
      <c r="AK21" s="181">
        <v>-17360</v>
      </c>
      <c r="AL21" s="181">
        <v>-11773</v>
      </c>
      <c r="AM21" s="181">
        <v>-62383</v>
      </c>
      <c r="AN21" s="203">
        <v>-130734</v>
      </c>
      <c r="AO21" s="181">
        <v>-54455</v>
      </c>
      <c r="AP21" s="181">
        <v>-77903</v>
      </c>
      <c r="AQ21" s="181">
        <v>-83358</v>
      </c>
      <c r="AR21" s="181">
        <v>-195666</v>
      </c>
      <c r="AS21" s="203">
        <v>-411382</v>
      </c>
      <c r="AT21" s="181">
        <v>-42773</v>
      </c>
      <c r="AU21" s="181">
        <f>AU15-SUM(AU17:AU20)</f>
        <v>-28351</v>
      </c>
      <c r="AV21" s="181">
        <f>AV15-SUM(AV17:AV20)</f>
        <v>-21301</v>
      </c>
      <c r="AW21" s="181">
        <f t="shared" ref="AW21:AX21" si="5">AW15-SUM(AW17:AW20)</f>
        <v>-23139.97475399273</v>
      </c>
      <c r="AX21" s="203">
        <f t="shared" si="5"/>
        <v>-115564.97475399284</v>
      </c>
      <c r="AY21" s="181">
        <f t="shared" ref="AY21" si="6">AY15-SUM(AY17:AY20)</f>
        <v>-22447</v>
      </c>
    </row>
    <row r="22" spans="1:51" s="168" customFormat="1" ht="14.4" thickBot="1">
      <c r="A22" s="170" t="s">
        <v>118</v>
      </c>
      <c r="C22" s="173"/>
      <c r="D22" s="182">
        <v>37002</v>
      </c>
      <c r="E22" s="182">
        <v>27322</v>
      </c>
      <c r="F22" s="204">
        <v>60246</v>
      </c>
      <c r="G22" s="182">
        <v>-4025</v>
      </c>
      <c r="H22" s="182">
        <v>-1619</v>
      </c>
      <c r="I22" s="182">
        <v>733</v>
      </c>
      <c r="J22" s="182">
        <v>-3496</v>
      </c>
      <c r="K22" s="204">
        <v>-8407</v>
      </c>
      <c r="L22" s="182">
        <v>-4720</v>
      </c>
      <c r="M22" s="182">
        <v>-4738</v>
      </c>
      <c r="N22" s="174">
        <v>3769</v>
      </c>
      <c r="Q22" s="173"/>
      <c r="R22" s="182">
        <v>37002</v>
      </c>
      <c r="S22" s="182">
        <v>28144</v>
      </c>
      <c r="T22" s="204">
        <v>61068</v>
      </c>
      <c r="U22" s="182">
        <v>-4025</v>
      </c>
      <c r="V22" s="182">
        <v>-1619</v>
      </c>
      <c r="W22" s="182">
        <v>733</v>
      </c>
      <c r="X22" s="182">
        <v>-3442</v>
      </c>
      <c r="Y22" s="204">
        <v>-8353</v>
      </c>
      <c r="Z22" s="182">
        <v>-4720</v>
      </c>
      <c r="AA22" s="182">
        <v>-4738</v>
      </c>
      <c r="AB22" s="182">
        <v>3769</v>
      </c>
      <c r="AC22" s="182">
        <v>-1953</v>
      </c>
      <c r="AD22" s="204">
        <v>-7642</v>
      </c>
      <c r="AE22" s="182">
        <v>-2459</v>
      </c>
      <c r="AF22" s="182">
        <v>-661</v>
      </c>
      <c r="AG22" s="182">
        <v>-320</v>
      </c>
      <c r="AH22" s="182">
        <v>-10144</v>
      </c>
      <c r="AI22" s="204">
        <v>-13584</v>
      </c>
      <c r="AJ22" s="182">
        <v>18</v>
      </c>
      <c r="AK22" s="182">
        <v>-2007</v>
      </c>
      <c r="AL22" s="182">
        <v>-1441</v>
      </c>
      <c r="AM22" s="182">
        <v>-8226</v>
      </c>
      <c r="AN22" s="204">
        <v>-11656</v>
      </c>
      <c r="AO22" s="182">
        <v>-2501</v>
      </c>
      <c r="AP22" s="182">
        <v>-1296</v>
      </c>
      <c r="AQ22" s="182">
        <v>-1924</v>
      </c>
      <c r="AR22" s="182">
        <v>1522</v>
      </c>
      <c r="AS22" s="204">
        <v>-4199</v>
      </c>
      <c r="AT22" s="182">
        <v>-2663</v>
      </c>
      <c r="AU22" s="182">
        <v>-2535</v>
      </c>
      <c r="AV22" s="182">
        <v>-1807</v>
      </c>
      <c r="AW22" s="182">
        <v>-1862.6118149941999</v>
      </c>
      <c r="AX22" s="204">
        <f t="shared" si="4"/>
        <v>-8867.6118149941994</v>
      </c>
      <c r="AY22" s="182">
        <v>-3126</v>
      </c>
    </row>
    <row r="23" spans="1:51" s="168" customFormat="1" ht="13.8">
      <c r="A23" s="176" t="s">
        <v>119</v>
      </c>
      <c r="C23" s="168" t="s">
        <v>45</v>
      </c>
      <c r="D23" s="179">
        <v>-110440</v>
      </c>
      <c r="E23" s="179">
        <v>-58652</v>
      </c>
      <c r="F23" s="200">
        <v>-204285</v>
      </c>
      <c r="G23" s="179">
        <v>-23994</v>
      </c>
      <c r="H23" s="179">
        <v>-25182</v>
      </c>
      <c r="I23" s="179">
        <v>-28940</v>
      </c>
      <c r="J23" s="179">
        <v>-84401</v>
      </c>
      <c r="K23" s="200">
        <v>-162517.01601103783</v>
      </c>
      <c r="L23" s="179">
        <v>-29907</v>
      </c>
      <c r="M23" s="179">
        <v>-34146</v>
      </c>
      <c r="N23" s="179">
        <v>-133427</v>
      </c>
      <c r="Q23" s="168" t="s">
        <v>45</v>
      </c>
      <c r="R23" s="179">
        <f>R21+R22</f>
        <v>-110988</v>
      </c>
      <c r="S23" s="179">
        <f>S21+S22</f>
        <v>-63303</v>
      </c>
      <c r="T23" s="200">
        <v>-209484</v>
      </c>
      <c r="U23" s="179">
        <v>-23978</v>
      </c>
      <c r="V23" s="179">
        <v>-30509</v>
      </c>
      <c r="W23" s="179">
        <v>-28806</v>
      </c>
      <c r="X23" s="179">
        <v>-86513</v>
      </c>
      <c r="Y23" s="200">
        <v>-169806</v>
      </c>
      <c r="Z23" s="179">
        <v>-32172</v>
      </c>
      <c r="AA23" s="179">
        <v>-41571</v>
      </c>
      <c r="AB23" s="179">
        <v>-131289</v>
      </c>
      <c r="AC23" s="179">
        <v>-304084</v>
      </c>
      <c r="AD23" s="200">
        <v>-509116</v>
      </c>
      <c r="AE23" s="179">
        <v>-12670</v>
      </c>
      <c r="AF23" s="179">
        <v>-48691</v>
      </c>
      <c r="AG23" s="179">
        <v>-28318</v>
      </c>
      <c r="AH23" s="179">
        <v>-88851</v>
      </c>
      <c r="AI23" s="200">
        <v>-178530</v>
      </c>
      <c r="AJ23" s="179">
        <v>-39200</v>
      </c>
      <c r="AK23" s="179">
        <v>-19367</v>
      </c>
      <c r="AL23" s="179">
        <v>-13214</v>
      </c>
      <c r="AM23" s="179">
        <v>-70609</v>
      </c>
      <c r="AN23" s="200">
        <v>-142390</v>
      </c>
      <c r="AO23" s="179">
        <v>-56956</v>
      </c>
      <c r="AP23" s="179">
        <v>-79199</v>
      </c>
      <c r="AQ23" s="179">
        <v>-85282</v>
      </c>
      <c r="AR23" s="179">
        <v>-194144</v>
      </c>
      <c r="AS23" s="200">
        <v>-415581</v>
      </c>
      <c r="AT23" s="179">
        <v>-45436</v>
      </c>
      <c r="AU23" s="179">
        <f>AU21+AU22</f>
        <v>-30886</v>
      </c>
      <c r="AV23" s="179">
        <f>AV21+AV22</f>
        <v>-23108</v>
      </c>
      <c r="AW23" s="179">
        <f t="shared" ref="AW23:AX23" si="7">AW21+AW22</f>
        <v>-25002.586568986932</v>
      </c>
      <c r="AX23" s="200">
        <f t="shared" si="7"/>
        <v>-124432.58656898704</v>
      </c>
      <c r="AY23" s="179">
        <f t="shared" ref="AY23" si="8">AY21+AY22</f>
        <v>-25573</v>
      </c>
    </row>
    <row r="24" spans="1:51" s="168" customFormat="1" ht="14.4" thickBot="1">
      <c r="A24" s="170" t="s">
        <v>370</v>
      </c>
      <c r="D24" s="169"/>
      <c r="E24" s="169"/>
      <c r="F24" s="197"/>
      <c r="G24" s="169"/>
      <c r="H24" s="169"/>
      <c r="I24" s="169"/>
      <c r="J24" s="169"/>
      <c r="K24" s="197"/>
      <c r="L24" s="169"/>
      <c r="M24" s="169"/>
      <c r="N24" s="169"/>
      <c r="R24" s="169"/>
      <c r="S24" s="169"/>
      <c r="T24" s="197"/>
      <c r="U24" s="182"/>
      <c r="V24" s="182"/>
      <c r="W24" s="182"/>
      <c r="X24" s="182"/>
      <c r="Y24" s="204">
        <f t="shared" ref="Y24" si="9">SUM(U24:X24)</f>
        <v>0</v>
      </c>
      <c r="Z24" s="182"/>
      <c r="AA24" s="182"/>
      <c r="AB24" s="182"/>
      <c r="AC24" s="182"/>
      <c r="AD24" s="204">
        <f t="shared" ref="AD24" si="10">SUM(Z24:AC24)</f>
        <v>0</v>
      </c>
      <c r="AE24" s="182"/>
      <c r="AF24" s="182"/>
      <c r="AG24" s="182"/>
      <c r="AH24" s="182"/>
      <c r="AI24" s="204">
        <f t="shared" ref="AI24" si="11">SUM(AE24:AH24)</f>
        <v>0</v>
      </c>
      <c r="AJ24" s="182"/>
      <c r="AK24" s="182"/>
      <c r="AL24" s="182"/>
      <c r="AM24" s="182"/>
      <c r="AN24" s="204">
        <f t="shared" ref="AN24" si="12">SUM(AJ24:AM24)</f>
        <v>0</v>
      </c>
      <c r="AO24" s="182"/>
      <c r="AP24" s="182"/>
      <c r="AQ24" s="182"/>
      <c r="AR24" s="182"/>
      <c r="AS24" s="204">
        <f t="shared" ref="AS24" si="13">SUM(AO24:AR24)</f>
        <v>0</v>
      </c>
      <c r="AT24" s="182"/>
      <c r="AU24" s="182"/>
      <c r="AV24" s="182"/>
      <c r="AW24" s="182">
        <v>723</v>
      </c>
      <c r="AX24" s="204">
        <f t="shared" si="4"/>
        <v>723</v>
      </c>
      <c r="AY24" s="182">
        <v>-694</v>
      </c>
    </row>
    <row r="25" spans="1:51" s="207" customFormat="1" ht="13.8">
      <c r="A25" s="176" t="s">
        <v>371</v>
      </c>
      <c r="D25" s="179"/>
      <c r="E25" s="179"/>
      <c r="F25" s="200"/>
      <c r="G25" s="179"/>
      <c r="H25" s="179"/>
      <c r="I25" s="179"/>
      <c r="J25" s="179"/>
      <c r="K25" s="200"/>
      <c r="L25" s="179"/>
      <c r="M25" s="179"/>
      <c r="N25" s="179"/>
      <c r="R25" s="179"/>
      <c r="S25" s="179"/>
      <c r="T25" s="200"/>
      <c r="U25" s="179">
        <f t="shared" ref="U25" si="14">SUM(U23:U24)</f>
        <v>-23978</v>
      </c>
      <c r="V25" s="179">
        <f t="shared" ref="V25" si="15">SUM(V23:V24)</f>
        <v>-30509</v>
      </c>
      <c r="W25" s="179">
        <f t="shared" ref="W25" si="16">SUM(W23:W24)</f>
        <v>-28806</v>
      </c>
      <c r="X25" s="179">
        <f t="shared" ref="X25" si="17">SUM(X23:X24)</f>
        <v>-86513</v>
      </c>
      <c r="Y25" s="200">
        <f>SUM(Y23:Y24)</f>
        <v>-169806</v>
      </c>
      <c r="Z25" s="179">
        <f t="shared" ref="Z25" si="18">SUM(Z23:Z24)</f>
        <v>-32172</v>
      </c>
      <c r="AA25" s="179">
        <f t="shared" ref="AA25" si="19">SUM(AA23:AA24)</f>
        <v>-41571</v>
      </c>
      <c r="AB25" s="179">
        <f t="shared" ref="AB25" si="20">SUM(AB23:AB24)</f>
        <v>-131289</v>
      </c>
      <c r="AC25" s="179">
        <f t="shared" ref="AC25" si="21">SUM(AC23:AC24)</f>
        <v>-304084</v>
      </c>
      <c r="AD25" s="200">
        <f>SUM(AD23:AD24)</f>
        <v>-509116</v>
      </c>
      <c r="AE25" s="179">
        <f t="shared" ref="AE25" si="22">SUM(AE23:AE24)</f>
        <v>-12670</v>
      </c>
      <c r="AF25" s="179">
        <f t="shared" ref="AF25" si="23">SUM(AF23:AF24)</f>
        <v>-48691</v>
      </c>
      <c r="AG25" s="179">
        <f t="shared" ref="AG25" si="24">SUM(AG23:AG24)</f>
        <v>-28318</v>
      </c>
      <c r="AH25" s="179">
        <f t="shared" ref="AH25" si="25">SUM(AH23:AH24)</f>
        <v>-88851</v>
      </c>
      <c r="AI25" s="200">
        <f>SUM(AI23:AI24)</f>
        <v>-178530</v>
      </c>
      <c r="AJ25" s="179">
        <f t="shared" ref="AJ25" si="26">SUM(AJ23:AJ24)</f>
        <v>-39200</v>
      </c>
      <c r="AK25" s="179">
        <f t="shared" ref="AK25" si="27">SUM(AK23:AK24)</f>
        <v>-19367</v>
      </c>
      <c r="AL25" s="179">
        <f t="shared" ref="AL25" si="28">SUM(AL23:AL24)</f>
        <v>-13214</v>
      </c>
      <c r="AM25" s="179">
        <f t="shared" ref="AM25" si="29">SUM(AM23:AM24)</f>
        <v>-70609</v>
      </c>
      <c r="AN25" s="200">
        <f>SUM(AN23:AN24)</f>
        <v>-142390</v>
      </c>
      <c r="AO25" s="179">
        <f t="shared" ref="AO25" si="30">SUM(AO23:AO24)</f>
        <v>-56956</v>
      </c>
      <c r="AP25" s="179">
        <f t="shared" ref="AP25" si="31">SUM(AP23:AP24)</f>
        <v>-79199</v>
      </c>
      <c r="AQ25" s="179">
        <f t="shared" ref="AQ25:AR25" si="32">SUM(AQ23:AQ24)</f>
        <v>-85282</v>
      </c>
      <c r="AR25" s="179">
        <f t="shared" si="32"/>
        <v>-194144</v>
      </c>
      <c r="AS25" s="200">
        <f>SUM(AS23:AS24)</f>
        <v>-415581</v>
      </c>
      <c r="AT25" s="179">
        <f t="shared" ref="AT25:AV25" si="33">SUM(AT23:AT24)</f>
        <v>-45436</v>
      </c>
      <c r="AU25" s="179">
        <f t="shared" si="33"/>
        <v>-30886</v>
      </c>
      <c r="AV25" s="179">
        <f t="shared" si="33"/>
        <v>-23108</v>
      </c>
      <c r="AW25" s="179">
        <v>-18302</v>
      </c>
      <c r="AX25" s="200">
        <f>AX23-AX24</f>
        <v>-125155.58656898704</v>
      </c>
      <c r="AY25" s="179">
        <f>AY23-AY24</f>
        <v>-24879</v>
      </c>
    </row>
    <row r="26" spans="1:51" s="168" customFormat="1" ht="15" customHeight="1">
      <c r="A26" s="170" t="s">
        <v>120</v>
      </c>
      <c r="D26" s="169">
        <v>-16375</v>
      </c>
      <c r="E26" s="171">
        <v>0</v>
      </c>
      <c r="F26" s="198">
        <v>-16375</v>
      </c>
      <c r="G26" s="171">
        <v>0</v>
      </c>
      <c r="H26" s="171">
        <v>0</v>
      </c>
      <c r="I26" s="171">
        <v>0</v>
      </c>
      <c r="J26" s="171"/>
      <c r="K26" s="198">
        <v>0</v>
      </c>
      <c r="L26" s="171">
        <v>0</v>
      </c>
      <c r="M26" s="171">
        <v>0</v>
      </c>
      <c r="N26" s="171">
        <v>0</v>
      </c>
      <c r="R26" s="169">
        <v>-16375</v>
      </c>
      <c r="S26" s="169">
        <v>0</v>
      </c>
      <c r="T26" s="198">
        <v>-16375</v>
      </c>
      <c r="U26" s="169" t="s">
        <v>121</v>
      </c>
      <c r="V26" s="169" t="s">
        <v>121</v>
      </c>
      <c r="W26" s="169" t="s">
        <v>121</v>
      </c>
      <c r="X26" s="169" t="s">
        <v>121</v>
      </c>
      <c r="Y26" s="198" t="s">
        <v>121</v>
      </c>
      <c r="Z26" s="169" t="s">
        <v>121</v>
      </c>
      <c r="AA26" s="169" t="s">
        <v>121</v>
      </c>
      <c r="AB26" s="169" t="s">
        <v>121</v>
      </c>
      <c r="AC26" s="169" t="s">
        <v>121</v>
      </c>
      <c r="AD26" s="198" t="s">
        <v>121</v>
      </c>
      <c r="AE26" s="169" t="s">
        <v>121</v>
      </c>
      <c r="AF26" s="169" t="s">
        <v>121</v>
      </c>
      <c r="AG26" s="169" t="s">
        <v>121</v>
      </c>
      <c r="AH26" s="169" t="s">
        <v>121</v>
      </c>
      <c r="AI26" s="198" t="s">
        <v>121</v>
      </c>
      <c r="AJ26" s="169" t="s">
        <v>121</v>
      </c>
      <c r="AK26" s="169" t="s">
        <v>121</v>
      </c>
      <c r="AL26" s="169" t="s">
        <v>121</v>
      </c>
      <c r="AM26" s="169" t="s">
        <v>121</v>
      </c>
      <c r="AN26" s="197" t="s">
        <v>121</v>
      </c>
      <c r="AO26" s="169" t="s">
        <v>121</v>
      </c>
      <c r="AP26" s="169" t="s">
        <v>121</v>
      </c>
      <c r="AQ26" s="169" t="s">
        <v>121</v>
      </c>
      <c r="AR26" s="169" t="s">
        <v>121</v>
      </c>
      <c r="AS26" s="197" t="s">
        <v>121</v>
      </c>
      <c r="AT26" s="169" t="s">
        <v>121</v>
      </c>
      <c r="AU26" s="169" t="s">
        <v>121</v>
      </c>
      <c r="AV26" s="169" t="s">
        <v>121</v>
      </c>
      <c r="AW26" s="169"/>
      <c r="AX26" s="197">
        <f t="shared" si="4"/>
        <v>0</v>
      </c>
      <c r="AY26" s="169"/>
    </row>
    <row r="27" spans="1:51" s="168" customFormat="1" ht="13.8">
      <c r="A27" s="170" t="s">
        <v>122</v>
      </c>
      <c r="C27" s="172"/>
      <c r="D27" s="169">
        <v>-1225</v>
      </c>
      <c r="E27" s="169">
        <v>-1264</v>
      </c>
      <c r="F27" s="197">
        <v>-2489</v>
      </c>
      <c r="G27" s="171">
        <v>-914</v>
      </c>
      <c r="H27" s="171">
        <v>-914</v>
      </c>
      <c r="I27" s="171">
        <v>-914</v>
      </c>
      <c r="J27" s="171">
        <v>-914</v>
      </c>
      <c r="K27" s="197">
        <v>-3655</v>
      </c>
      <c r="L27" s="171">
        <v>-914</v>
      </c>
      <c r="M27" s="171">
        <v>-914</v>
      </c>
      <c r="N27" s="171">
        <v>-884</v>
      </c>
      <c r="O27" s="183"/>
      <c r="P27" s="183"/>
      <c r="Q27" s="172"/>
      <c r="R27" s="169">
        <v>-1225</v>
      </c>
      <c r="S27" s="169">
        <v>-1264</v>
      </c>
      <c r="T27" s="197">
        <v>-2489</v>
      </c>
      <c r="U27" s="169">
        <v>-914</v>
      </c>
      <c r="V27" s="169">
        <v>-914</v>
      </c>
      <c r="W27" s="169">
        <v>-914</v>
      </c>
      <c r="X27" s="169">
        <v>-914</v>
      </c>
      <c r="Y27" s="197">
        <v>-3655</v>
      </c>
      <c r="Z27" s="169">
        <v>-914</v>
      </c>
      <c r="AA27" s="169">
        <v>-914</v>
      </c>
      <c r="AB27" s="169">
        <v>-884</v>
      </c>
      <c r="AC27" s="169">
        <v>-597</v>
      </c>
      <c r="AD27" s="197">
        <v>-3309</v>
      </c>
      <c r="AE27" s="169">
        <v>1440</v>
      </c>
      <c r="AF27" s="169">
        <v>-858</v>
      </c>
      <c r="AG27" s="169">
        <v>-976</v>
      </c>
      <c r="AH27" s="169">
        <v>-915</v>
      </c>
      <c r="AI27" s="197">
        <v>-1309</v>
      </c>
      <c r="AJ27" s="169">
        <v>896</v>
      </c>
      <c r="AK27" s="169">
        <v>-798</v>
      </c>
      <c r="AL27" s="169">
        <v>-822</v>
      </c>
      <c r="AM27" s="169">
        <v>-852</v>
      </c>
      <c r="AN27" s="197">
        <v>-1576</v>
      </c>
      <c r="AO27" s="169">
        <v>-864</v>
      </c>
      <c r="AP27" s="169">
        <v>-876</v>
      </c>
      <c r="AQ27" s="169">
        <v>-908</v>
      </c>
      <c r="AR27" s="169">
        <v>-940</v>
      </c>
      <c r="AS27" s="197">
        <v>-3588</v>
      </c>
      <c r="AT27" s="169">
        <v>-954</v>
      </c>
      <c r="AU27" s="169">
        <v>-967</v>
      </c>
      <c r="AV27" s="169">
        <v>-1002</v>
      </c>
      <c r="AW27" s="169">
        <f>-3961+2923</f>
        <v>-1038</v>
      </c>
      <c r="AX27" s="197">
        <f t="shared" si="4"/>
        <v>-3961</v>
      </c>
      <c r="AY27" s="169">
        <v>-1053</v>
      </c>
    </row>
    <row r="28" spans="1:51" s="168" customFormat="1" ht="13.8">
      <c r="A28" s="170" t="s">
        <v>123</v>
      </c>
      <c r="C28" s="172"/>
      <c r="D28" s="169"/>
      <c r="E28" s="169"/>
      <c r="F28" s="197"/>
      <c r="G28" s="171"/>
      <c r="H28" s="171"/>
      <c r="I28" s="171"/>
      <c r="J28" s="171"/>
      <c r="K28" s="197"/>
      <c r="L28" s="171"/>
      <c r="M28" s="171"/>
      <c r="N28" s="171"/>
      <c r="O28" s="183"/>
      <c r="P28" s="183"/>
      <c r="Q28" s="172"/>
      <c r="R28" s="169"/>
      <c r="S28" s="169"/>
      <c r="T28" s="197" t="s">
        <v>121</v>
      </c>
      <c r="U28" s="169"/>
      <c r="V28" s="169"/>
      <c r="W28" s="169"/>
      <c r="X28" s="169"/>
      <c r="Y28" s="197" t="s">
        <v>121</v>
      </c>
      <c r="Z28" s="169" t="s">
        <v>121</v>
      </c>
      <c r="AA28" s="169" t="s">
        <v>121</v>
      </c>
      <c r="AB28" s="169" t="s">
        <v>121</v>
      </c>
      <c r="AC28" s="169" t="s">
        <v>121</v>
      </c>
      <c r="AD28" s="197" t="s">
        <v>121</v>
      </c>
      <c r="AE28" s="169" t="s">
        <v>121</v>
      </c>
      <c r="AF28" s="169" t="s">
        <v>121</v>
      </c>
      <c r="AG28" s="169" t="s">
        <v>121</v>
      </c>
      <c r="AH28" s="169" t="s">
        <v>121</v>
      </c>
      <c r="AI28" s="197" t="s">
        <v>121</v>
      </c>
      <c r="AJ28" s="169" t="s">
        <v>121</v>
      </c>
      <c r="AK28" s="169" t="s">
        <v>121</v>
      </c>
      <c r="AL28" s="169" t="s">
        <v>121</v>
      </c>
      <c r="AM28" s="169" t="s">
        <v>121</v>
      </c>
      <c r="AN28" s="197" t="s">
        <v>121</v>
      </c>
      <c r="AO28" s="169">
        <v>-75</v>
      </c>
      <c r="AP28" s="169">
        <v>-1317</v>
      </c>
      <c r="AQ28" s="169">
        <v>-1136</v>
      </c>
      <c r="AR28" s="169">
        <v>-1137</v>
      </c>
      <c r="AS28" s="197">
        <v>-3665</v>
      </c>
      <c r="AT28" s="169">
        <v>-1153</v>
      </c>
      <c r="AU28" s="169">
        <v>-1171</v>
      </c>
      <c r="AV28" s="169">
        <v>-1188</v>
      </c>
      <c r="AW28" s="169">
        <f>-4718+3512</f>
        <v>-1206</v>
      </c>
      <c r="AX28" s="197">
        <f t="shared" si="4"/>
        <v>-4718</v>
      </c>
      <c r="AY28" s="169">
        <v>-1224</v>
      </c>
    </row>
    <row r="29" spans="1:51" s="168" customFormat="1" ht="14.4" thickBot="1">
      <c r="A29" s="176" t="s">
        <v>124</v>
      </c>
      <c r="C29" s="184" t="s">
        <v>45</v>
      </c>
      <c r="D29" s="185">
        <v>-128040</v>
      </c>
      <c r="E29" s="185">
        <v>-59916</v>
      </c>
      <c r="F29" s="205">
        <v>-223149</v>
      </c>
      <c r="G29" s="185">
        <v>-24908</v>
      </c>
      <c r="H29" s="185">
        <v>-26096</v>
      </c>
      <c r="I29" s="185">
        <v>-29854</v>
      </c>
      <c r="J29" s="185">
        <v>-85314</v>
      </c>
      <c r="K29" s="205">
        <v>-166172.01601103783</v>
      </c>
      <c r="L29" s="185">
        <v>-30821</v>
      </c>
      <c r="M29" s="185">
        <v>-35060</v>
      </c>
      <c r="N29" s="185">
        <v>-134311</v>
      </c>
      <c r="O29" s="186"/>
      <c r="P29" s="186"/>
      <c r="Q29" s="184" t="s">
        <v>45</v>
      </c>
      <c r="R29" s="185">
        <f>R23+R26+R27</f>
        <v>-128588</v>
      </c>
      <c r="S29" s="185">
        <f>S23+S26+S27</f>
        <v>-64567</v>
      </c>
      <c r="T29" s="205">
        <v>-228348</v>
      </c>
      <c r="U29" s="185">
        <v>-24892</v>
      </c>
      <c r="V29" s="185">
        <v>-31423</v>
      </c>
      <c r="W29" s="185">
        <v>-29720</v>
      </c>
      <c r="X29" s="185">
        <v>-87427</v>
      </c>
      <c r="Y29" s="205">
        <v>-173461</v>
      </c>
      <c r="Z29" s="185">
        <v>-33086</v>
      </c>
      <c r="AA29" s="185">
        <v>-42485</v>
      </c>
      <c r="AB29" s="185">
        <v>-132173</v>
      </c>
      <c r="AC29" s="185">
        <v>-304681</v>
      </c>
      <c r="AD29" s="205">
        <v>-512425</v>
      </c>
      <c r="AE29" s="185">
        <v>-11230</v>
      </c>
      <c r="AF29" s="185">
        <v>-49549</v>
      </c>
      <c r="AG29" s="185">
        <v>-29294</v>
      </c>
      <c r="AH29" s="185">
        <v>-89766</v>
      </c>
      <c r="AI29" s="205">
        <v>-179839</v>
      </c>
      <c r="AJ29" s="185">
        <v>-38304</v>
      </c>
      <c r="AK29" s="185">
        <v>-20165</v>
      </c>
      <c r="AL29" s="185">
        <v>-14036</v>
      </c>
      <c r="AM29" s="185">
        <v>-71461</v>
      </c>
      <c r="AN29" s="205">
        <v>-143966</v>
      </c>
      <c r="AO29" s="185">
        <v>-57895</v>
      </c>
      <c r="AP29" s="185">
        <v>-81392</v>
      </c>
      <c r="AQ29" s="185">
        <v>-87326</v>
      </c>
      <c r="AR29" s="185">
        <v>-196221</v>
      </c>
      <c r="AS29" s="205">
        <v>-422834</v>
      </c>
      <c r="AT29" s="185">
        <f t="shared" ref="AT29:AW29" si="34">AT25+SUM(AT26:AT28)</f>
        <v>-47543</v>
      </c>
      <c r="AU29" s="185">
        <f t="shared" si="34"/>
        <v>-33024</v>
      </c>
      <c r="AV29" s="185">
        <f t="shared" si="34"/>
        <v>-25298</v>
      </c>
      <c r="AW29" s="185">
        <f t="shared" si="34"/>
        <v>-20546</v>
      </c>
      <c r="AX29" s="205">
        <f>AX25+SUM(AX26:AX28)</f>
        <v>-133834.58656898706</v>
      </c>
      <c r="AY29" s="185">
        <f t="shared" ref="AY29" si="35">AY25+SUM(AY26:AY28)</f>
        <v>-27156</v>
      </c>
    </row>
    <row r="30" spans="1:51" s="168" customFormat="1" ht="14.4" hidden="1" thickTop="1">
      <c r="A30" s="176" t="s">
        <v>125</v>
      </c>
      <c r="D30" s="171"/>
      <c r="E30" s="171"/>
      <c r="F30" s="201"/>
      <c r="G30" s="171" t="s">
        <v>126</v>
      </c>
      <c r="H30" s="171" t="s">
        <v>126</v>
      </c>
      <c r="I30" s="171" t="s">
        <v>126</v>
      </c>
      <c r="J30" s="171" t="s">
        <v>126</v>
      </c>
      <c r="K30" s="201" t="s">
        <v>126</v>
      </c>
      <c r="L30" s="171" t="s">
        <v>126</v>
      </c>
      <c r="M30" s="171" t="s">
        <v>126</v>
      </c>
      <c r="N30" s="171"/>
      <c r="R30" s="171"/>
      <c r="S30" s="171"/>
      <c r="T30" s="201"/>
      <c r="U30" s="171"/>
      <c r="V30" s="171"/>
      <c r="W30" s="171"/>
      <c r="X30" s="171"/>
      <c r="Y30" s="201"/>
      <c r="Z30" s="171"/>
      <c r="AA30" s="171"/>
      <c r="AB30" s="171"/>
      <c r="AC30" s="171"/>
      <c r="AD30" s="201"/>
      <c r="AE30" s="171"/>
      <c r="AF30" s="171"/>
      <c r="AG30" s="171"/>
      <c r="AH30" s="171"/>
      <c r="AI30" s="201"/>
      <c r="AJ30" s="171"/>
      <c r="AK30" s="171"/>
      <c r="AL30" s="171"/>
      <c r="AM30" s="171"/>
      <c r="AN30" s="201"/>
      <c r="AO30" s="171"/>
      <c r="AP30" s="171"/>
      <c r="AQ30" s="171"/>
      <c r="AR30" s="171"/>
      <c r="AS30" s="201"/>
      <c r="AT30" s="171"/>
      <c r="AU30" s="171"/>
      <c r="AV30" s="171"/>
      <c r="AW30" s="171"/>
      <c r="AX30" s="201"/>
      <c r="AY30" s="171"/>
    </row>
    <row r="31" spans="1:51" s="168" customFormat="1" ht="14.4" hidden="1" thickTop="1">
      <c r="A31" s="170" t="s">
        <v>127</v>
      </c>
      <c r="C31" s="168" t="s">
        <v>45</v>
      </c>
      <c r="D31" s="187">
        <v>0.92</v>
      </c>
      <c r="E31" s="187">
        <v>-0.4</v>
      </c>
      <c r="F31" s="206">
        <v>-2.08</v>
      </c>
      <c r="G31" s="187">
        <v>-0.16</v>
      </c>
      <c r="H31" s="187">
        <v>-0.17</v>
      </c>
      <c r="I31" s="187">
        <v>-0.2</v>
      </c>
      <c r="J31" s="187">
        <v>-0.54</v>
      </c>
      <c r="K31" s="206">
        <v>-1.0900000000000001</v>
      </c>
      <c r="L31" s="187">
        <v>-0.21</v>
      </c>
      <c r="M31" s="187">
        <v>-0.23</v>
      </c>
      <c r="N31" s="187">
        <v>-0.89</v>
      </c>
      <c r="O31" s="186"/>
      <c r="P31" s="186"/>
      <c r="Q31" s="168" t="s">
        <v>45</v>
      </c>
      <c r="R31" s="187">
        <v>-0.95</v>
      </c>
      <c r="S31" s="187">
        <f>-0.44*3</f>
        <v>-1.32</v>
      </c>
      <c r="T31" s="206">
        <v>-130.59105661986359</v>
      </c>
      <c r="U31" s="187"/>
      <c r="V31" s="187"/>
      <c r="W31" s="187"/>
      <c r="X31" s="187"/>
      <c r="Y31" s="206">
        <v>-70.430009079664202</v>
      </c>
      <c r="Z31" s="187">
        <v>-13.8</v>
      </c>
      <c r="AA31" s="187">
        <v>-17.399999999999999</v>
      </c>
      <c r="AB31" s="187">
        <v>-54.6</v>
      </c>
      <c r="AC31" s="187">
        <v>-125.39999999999999</v>
      </c>
      <c r="AD31" s="206">
        <v>-210.99179639718059</v>
      </c>
      <c r="AE31" s="187">
        <v>-4.5775960291697224</v>
      </c>
      <c r="AF31" s="187">
        <v>-20.15434089504258</v>
      </c>
      <c r="AG31" s="187">
        <v>-11.915280056603098</v>
      </c>
      <c r="AH31" s="187"/>
      <c r="AI31" s="206">
        <v>-73.187949812164319</v>
      </c>
      <c r="AJ31" s="187">
        <v>-15.126025913501062</v>
      </c>
      <c r="AK31" s="187">
        <v>-6.5604949335637919</v>
      </c>
      <c r="AL31" s="187">
        <v>-1.8633299772397507</v>
      </c>
      <c r="AM31" s="187"/>
      <c r="AN31" s="206">
        <v>-24.400776728122938</v>
      </c>
      <c r="AO31" s="187">
        <v>-3.368603246010538</v>
      </c>
      <c r="AP31" s="187">
        <v>-3.2185446085833767</v>
      </c>
      <c r="AQ31" s="187"/>
      <c r="AR31" s="187"/>
      <c r="AS31" s="206"/>
      <c r="AT31" s="187"/>
      <c r="AU31" s="187"/>
      <c r="AV31" s="187"/>
      <c r="AW31" s="187"/>
      <c r="AX31" s="206"/>
      <c r="AY31" s="187"/>
    </row>
    <row r="32" spans="1:51" s="168" customFormat="1" ht="14.4" hidden="1" thickTop="1">
      <c r="D32" s="180"/>
      <c r="E32" s="180"/>
      <c r="G32" s="180"/>
      <c r="H32" s="180"/>
      <c r="I32" s="180"/>
      <c r="L32" s="180"/>
      <c r="M32" s="180"/>
      <c r="N32" s="180"/>
      <c r="R32" s="180"/>
      <c r="S32" s="180"/>
      <c r="T32" s="188"/>
      <c r="U32" s="180"/>
      <c r="V32" s="180"/>
      <c r="W32" s="180"/>
      <c r="X32" s="180"/>
      <c r="Y32" s="188"/>
      <c r="Z32" s="188"/>
      <c r="AA32" s="188"/>
      <c r="AB32" s="188"/>
      <c r="AC32" s="188"/>
      <c r="AD32" s="188"/>
      <c r="AE32" s="188"/>
      <c r="AF32" s="188"/>
      <c r="AG32" s="188"/>
      <c r="AH32" s="188"/>
      <c r="AI32" s="188"/>
      <c r="AJ32" s="188"/>
      <c r="AK32" s="188"/>
      <c r="AL32" s="188"/>
      <c r="AM32" s="188"/>
      <c r="AN32" s="188"/>
      <c r="AO32" s="188"/>
      <c r="AP32" s="180"/>
      <c r="AQ32" s="180"/>
      <c r="AR32" s="180"/>
      <c r="AS32" s="188"/>
      <c r="AT32" s="188"/>
      <c r="AU32" s="188"/>
      <c r="AV32" s="188"/>
      <c r="AW32" s="180"/>
      <c r="AX32" s="188"/>
      <c r="AY32" s="180"/>
    </row>
    <row r="33" spans="4:51" s="168" customFormat="1" ht="14.4" thickTop="1">
      <c r="D33" s="180"/>
      <c r="E33" s="194"/>
      <c r="G33" s="180"/>
      <c r="H33" s="180"/>
      <c r="I33" s="180"/>
      <c r="L33" s="180"/>
      <c r="M33" s="180"/>
      <c r="N33" s="180"/>
      <c r="R33" s="180"/>
      <c r="S33" s="188"/>
      <c r="T33" s="195"/>
      <c r="U33" s="180"/>
      <c r="V33" s="180"/>
      <c r="W33" s="180"/>
      <c r="Y33" s="195"/>
      <c r="Z33" s="180"/>
      <c r="AA33" s="180"/>
      <c r="AB33" s="180"/>
      <c r="AD33" s="195"/>
      <c r="AE33" s="180"/>
      <c r="AF33" s="180"/>
      <c r="AG33" s="180"/>
      <c r="AH33" s="180"/>
      <c r="AI33" s="195"/>
      <c r="AJ33" s="180"/>
      <c r="AK33" s="180"/>
      <c r="AL33" s="180"/>
      <c r="AM33" s="180"/>
      <c r="AN33" s="195"/>
      <c r="AO33" s="180"/>
      <c r="AP33" s="180"/>
      <c r="AQ33" s="180"/>
      <c r="AR33" s="180"/>
      <c r="AS33" s="195"/>
      <c r="AT33" s="180"/>
      <c r="AU33" s="180"/>
      <c r="AV33" s="180"/>
      <c r="AW33" s="180"/>
      <c r="AX33" s="195"/>
      <c r="AY33" s="180"/>
    </row>
    <row r="34" spans="4:51" s="1" customFormat="1" ht="16.5" customHeight="1">
      <c r="D34" s="158"/>
      <c r="E34" s="158"/>
      <c r="G34" s="158"/>
      <c r="H34" s="158"/>
      <c r="I34" s="158"/>
      <c r="L34" s="158"/>
      <c r="M34" s="158"/>
      <c r="N34" s="158"/>
      <c r="R34" s="158"/>
      <c r="S34" s="158"/>
      <c r="U34" s="158"/>
      <c r="V34" s="158"/>
      <c r="W34" s="158"/>
      <c r="Z34" s="158"/>
      <c r="AA34" s="158"/>
      <c r="AB34" s="158"/>
      <c r="AE34" s="158"/>
      <c r="AF34" s="158"/>
      <c r="AG34" s="158"/>
      <c r="AH34" s="158"/>
      <c r="AJ34" s="158"/>
      <c r="AK34" s="158"/>
      <c r="AL34" s="158"/>
      <c r="AM34" s="158"/>
      <c r="AO34" s="158"/>
      <c r="AP34" s="158"/>
      <c r="AQ34" s="158"/>
      <c r="AR34" s="158"/>
      <c r="AT34" s="158"/>
      <c r="AU34" s="158"/>
      <c r="AV34" s="158"/>
      <c r="AW34" s="158"/>
      <c r="AY34" s="158"/>
    </row>
    <row r="35" spans="4:51" s="1" customFormat="1" ht="16.5" customHeight="1">
      <c r="D35" s="158"/>
      <c r="E35" s="158"/>
      <c r="G35" s="158"/>
      <c r="H35" s="158"/>
      <c r="I35" s="158"/>
      <c r="L35" s="158"/>
      <c r="M35" s="158"/>
      <c r="N35" s="158"/>
      <c r="R35" s="158"/>
      <c r="S35" s="158"/>
      <c r="U35" s="158"/>
      <c r="V35" s="158"/>
      <c r="W35" s="158"/>
      <c r="Z35" s="158"/>
      <c r="AA35" s="158"/>
      <c r="AB35" s="158"/>
      <c r="AE35" s="158"/>
      <c r="AF35" s="158"/>
      <c r="AG35" s="158"/>
      <c r="AH35" s="158"/>
      <c r="AJ35" s="158"/>
      <c r="AK35" s="158"/>
      <c r="AL35" s="158"/>
      <c r="AM35" s="158"/>
      <c r="AO35" s="158"/>
      <c r="AP35" s="158"/>
      <c r="AQ35" s="158"/>
      <c r="AR35" s="158"/>
      <c r="AT35" s="158"/>
      <c r="AU35" s="158"/>
      <c r="AV35" s="158"/>
      <c r="AW35" s="158"/>
      <c r="AY35" s="158"/>
    </row>
  </sheetData>
  <hyperlinks>
    <hyperlink ref="AV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AN118"/>
  <sheetViews>
    <sheetView showGridLines="0" zoomScale="90" zoomScaleNormal="90" workbookViewId="0">
      <pane xSplit="1" ySplit="8" topLeftCell="N93" activePane="bottomRight" state="frozen"/>
      <selection activeCell="B22" sqref="B22"/>
      <selection pane="topRight" activeCell="B22" sqref="B22"/>
      <selection pane="bottomLeft" activeCell="B22" sqref="B22"/>
      <selection pane="bottomRight" activeCell="AI70" sqref="AI70:AI71"/>
    </sheetView>
  </sheetViews>
  <sheetFormatPr defaultColWidth="9.77734375" defaultRowHeight="13.8" outlineLevelCol="1"/>
  <cols>
    <col min="1" max="1" width="60.44140625" style="2" customWidth="1"/>
    <col min="2" max="2" width="2.44140625" style="2" hidden="1" customWidth="1" outlineLevel="1"/>
    <col min="3" max="3" width="12.44140625" style="54" hidden="1" customWidth="1" outlineLevel="1"/>
    <col min="4" max="4" width="12.44140625" style="2" hidden="1" customWidth="1" outlineLevel="1"/>
    <col min="5" max="7" width="12.44140625" style="54" hidden="1" customWidth="1" outlineLevel="1"/>
    <col min="8" max="8" width="12.44140625" style="2" hidden="1" customWidth="1" outlineLevel="1"/>
    <col min="9" max="9" width="14.44140625" style="54" hidden="1" customWidth="1" outlineLevel="1"/>
    <col min="10" max="11" width="12.44140625" style="54" hidden="1" customWidth="1" outlineLevel="1"/>
    <col min="12" max="12" width="2.44140625" style="2" hidden="1" customWidth="1" outlineLevel="1"/>
    <col min="13" max="13" width="12.44140625" style="54" hidden="1" customWidth="1" outlineLevel="1" collapsed="1"/>
    <col min="14" max="14" width="12.44140625" style="2" customWidth="1" collapsed="1"/>
    <col min="15" max="17" width="12.44140625" style="54" hidden="1" customWidth="1" outlineLevel="1"/>
    <col min="18" max="18" width="12.44140625" style="2" customWidth="1" collapsed="1"/>
    <col min="19" max="19" width="14.44140625" style="54" hidden="1" customWidth="1" outlineLevel="1"/>
    <col min="20" max="21" width="12.44140625" style="54" hidden="1" customWidth="1" outlineLevel="1"/>
    <col min="22" max="22" width="12.44140625" style="2" customWidth="1" collapsed="1"/>
    <col min="23" max="25" width="14.44140625" style="54" hidden="1" customWidth="1" outlineLevel="1"/>
    <col min="26" max="26" width="12.44140625" style="2" customWidth="1" collapsed="1"/>
    <col min="27" max="29" width="14.44140625" style="54" hidden="1" customWidth="1" outlineLevel="1"/>
    <col min="30" max="30" width="12.44140625" style="2" customWidth="1" collapsed="1"/>
    <col min="31" max="33" width="14.44140625" style="54" hidden="1" customWidth="1" outlineLevel="1"/>
    <col min="34" max="34" width="12.44140625" style="2" customWidth="1" collapsed="1"/>
    <col min="35" max="36" width="14.44140625" style="54" customWidth="1" outlineLevel="1"/>
    <col min="37" max="37" width="9.77734375" style="54" customWidth="1" outlineLevel="1"/>
    <col min="38" max="38" width="12.44140625" style="2" customWidth="1"/>
    <col min="39" max="39" width="14" style="54" customWidth="1" outlineLevel="1"/>
    <col min="40" max="16384" width="9.77734375" style="55"/>
  </cols>
  <sheetData>
    <row r="1" spans="1:39" ht="18">
      <c r="A1" s="53" t="s">
        <v>15</v>
      </c>
    </row>
    <row r="2" spans="1:39" ht="14.4">
      <c r="A2" s="56" t="s">
        <v>128</v>
      </c>
    </row>
    <row r="3" spans="1:39" ht="14.4">
      <c r="A3" s="56" t="s">
        <v>129</v>
      </c>
      <c r="AK3" s="54" t="s">
        <v>14</v>
      </c>
      <c r="AM3" s="54" t="s">
        <v>14</v>
      </c>
    </row>
    <row r="4" spans="1:39">
      <c r="A4" s="57"/>
      <c r="C4" s="58"/>
      <c r="D4" s="59"/>
      <c r="E4" s="58"/>
      <c r="F4" s="58"/>
      <c r="G4" s="58"/>
      <c r="H4" s="59"/>
      <c r="I4" s="58"/>
      <c r="J4" s="58"/>
      <c r="K4" s="58"/>
      <c r="M4" s="58"/>
      <c r="N4" s="59"/>
      <c r="O4" s="58"/>
      <c r="P4" s="58"/>
      <c r="Q4" s="58"/>
      <c r="R4" s="59"/>
      <c r="S4" s="58"/>
      <c r="T4" s="58"/>
      <c r="U4" s="58"/>
      <c r="V4" s="59"/>
      <c r="W4" s="58"/>
      <c r="X4" s="58"/>
      <c r="Y4" s="58"/>
      <c r="Z4" s="59"/>
      <c r="AA4" s="58"/>
      <c r="AB4" s="58"/>
      <c r="AC4" s="58"/>
      <c r="AD4" s="59"/>
      <c r="AE4" s="58"/>
      <c r="AF4" s="58"/>
      <c r="AG4" s="58"/>
      <c r="AH4" s="59"/>
      <c r="AI4" s="58"/>
      <c r="AJ4" s="58"/>
      <c r="AK4" s="58"/>
      <c r="AL4" s="59"/>
      <c r="AM4" s="58"/>
    </row>
    <row r="5" spans="1:39" ht="15.6">
      <c r="A5" s="60" t="s">
        <v>130</v>
      </c>
      <c r="D5" s="7"/>
      <c r="H5" s="7"/>
      <c r="M5" s="61" t="s">
        <v>19</v>
      </c>
      <c r="N5" s="7" t="s">
        <v>19</v>
      </c>
      <c r="O5" s="61" t="s">
        <v>19</v>
      </c>
      <c r="P5" s="61" t="s">
        <v>19</v>
      </c>
      <c r="Q5" s="61" t="s">
        <v>19</v>
      </c>
      <c r="R5" s="7" t="s">
        <v>19</v>
      </c>
      <c r="S5" s="61" t="s">
        <v>19</v>
      </c>
      <c r="T5" s="61" t="s">
        <v>19</v>
      </c>
      <c r="U5" s="61" t="s">
        <v>19</v>
      </c>
      <c r="V5" s="7" t="s">
        <v>19</v>
      </c>
      <c r="W5" s="61" t="s">
        <v>19</v>
      </c>
      <c r="X5" s="61"/>
      <c r="Y5" s="61"/>
      <c r="Z5" s="7" t="s">
        <v>19</v>
      </c>
      <c r="AA5" s="61" t="s">
        <v>19</v>
      </c>
      <c r="AB5" s="61" t="s">
        <v>19</v>
      </c>
      <c r="AC5" s="61"/>
      <c r="AD5" s="7"/>
      <c r="AE5" s="61" t="s">
        <v>19</v>
      </c>
      <c r="AF5" s="61" t="s">
        <v>19</v>
      </c>
      <c r="AG5" s="61" t="s">
        <v>19</v>
      </c>
      <c r="AH5" s="7"/>
      <c r="AI5" s="61" t="s">
        <v>19</v>
      </c>
      <c r="AJ5" s="61"/>
      <c r="AK5" s="61"/>
      <c r="AL5" s="7"/>
      <c r="AM5" s="61"/>
    </row>
    <row r="6" spans="1:39">
      <c r="A6" s="57"/>
      <c r="D6" s="7"/>
      <c r="H6" s="7"/>
      <c r="M6" s="61"/>
      <c r="N6" s="7"/>
      <c r="O6" s="61"/>
      <c r="P6" s="61"/>
      <c r="Q6" s="61"/>
      <c r="R6" s="7"/>
      <c r="S6" s="61"/>
      <c r="T6" s="61"/>
      <c r="U6" s="61"/>
      <c r="V6" s="7"/>
      <c r="W6" s="61"/>
      <c r="X6" s="61"/>
      <c r="Y6" s="61"/>
      <c r="Z6" s="7"/>
      <c r="AA6" s="61"/>
      <c r="AB6" s="61"/>
      <c r="AC6" s="61"/>
      <c r="AD6" s="7"/>
      <c r="AE6" s="61"/>
      <c r="AF6" s="61"/>
      <c r="AG6" s="61"/>
      <c r="AH6" s="7"/>
      <c r="AI6" s="61"/>
      <c r="AJ6" s="61"/>
      <c r="AK6" s="61"/>
      <c r="AL6" s="7"/>
      <c r="AM6" s="61"/>
    </row>
    <row r="7" spans="1:39" ht="28.2" thickBot="1">
      <c r="A7" s="62"/>
      <c r="C7" s="63" t="s">
        <v>20</v>
      </c>
      <c r="D7" s="63" t="s">
        <v>20</v>
      </c>
      <c r="E7" s="63" t="s">
        <v>20</v>
      </c>
      <c r="F7" s="63" t="s">
        <v>20</v>
      </c>
      <c r="G7" s="63" t="s">
        <v>20</v>
      </c>
      <c r="H7" s="63" t="s">
        <v>20</v>
      </c>
      <c r="I7" s="63" t="s">
        <v>20</v>
      </c>
      <c r="J7" s="63" t="s">
        <v>20</v>
      </c>
      <c r="K7" s="63" t="s">
        <v>20</v>
      </c>
      <c r="M7" s="63" t="s">
        <v>21</v>
      </c>
      <c r="N7" s="63" t="s">
        <v>21</v>
      </c>
      <c r="O7" s="63" t="s">
        <v>21</v>
      </c>
      <c r="P7" s="63" t="s">
        <v>21</v>
      </c>
      <c r="Q7" s="63" t="s">
        <v>21</v>
      </c>
      <c r="R7" s="63" t="s">
        <v>21</v>
      </c>
      <c r="S7" s="63" t="s">
        <v>21</v>
      </c>
      <c r="T7" s="63" t="s">
        <v>21</v>
      </c>
      <c r="U7" s="63" t="s">
        <v>21</v>
      </c>
      <c r="V7" s="63" t="s">
        <v>19</v>
      </c>
      <c r="W7" s="63" t="s">
        <v>19</v>
      </c>
      <c r="X7" s="63"/>
      <c r="Y7" s="63"/>
      <c r="Z7" s="63" t="s">
        <v>19</v>
      </c>
      <c r="AA7" s="63" t="s">
        <v>19</v>
      </c>
      <c r="AB7" s="63" t="s">
        <v>19</v>
      </c>
      <c r="AC7" s="63"/>
      <c r="AD7" s="63"/>
      <c r="AE7" s="63" t="s">
        <v>19</v>
      </c>
      <c r="AF7" s="63" t="s">
        <v>19</v>
      </c>
      <c r="AG7" s="63" t="s">
        <v>19</v>
      </c>
      <c r="AH7" s="63"/>
      <c r="AI7" s="63" t="s">
        <v>19</v>
      </c>
      <c r="AJ7" s="63"/>
      <c r="AK7" s="63"/>
      <c r="AL7" s="63"/>
      <c r="AM7" s="63"/>
    </row>
    <row r="8" spans="1:39" s="157" customFormat="1" ht="75" customHeight="1" thickBot="1">
      <c r="A8" s="156"/>
      <c r="B8" s="155"/>
      <c r="C8" s="160" t="s">
        <v>131</v>
      </c>
      <c r="D8" s="159" t="s">
        <v>24</v>
      </c>
      <c r="E8" s="160" t="s">
        <v>132</v>
      </c>
      <c r="F8" s="160" t="s">
        <v>133</v>
      </c>
      <c r="G8" s="160" t="s">
        <v>134</v>
      </c>
      <c r="H8" s="159" t="s">
        <v>28</v>
      </c>
      <c r="I8" s="160" t="s">
        <v>135</v>
      </c>
      <c r="J8" s="160" t="s">
        <v>136</v>
      </c>
      <c r="K8" s="160" t="s">
        <v>137</v>
      </c>
      <c r="L8" s="155"/>
      <c r="M8" s="160" t="s">
        <v>131</v>
      </c>
      <c r="N8" s="159" t="s">
        <v>24</v>
      </c>
      <c r="O8" s="160" t="s">
        <v>132</v>
      </c>
      <c r="P8" s="160" t="s">
        <v>133</v>
      </c>
      <c r="Q8" s="160" t="s">
        <v>134</v>
      </c>
      <c r="R8" s="159" t="s">
        <v>28</v>
      </c>
      <c r="S8" s="160" t="s">
        <v>135</v>
      </c>
      <c r="T8" s="160" t="s">
        <v>136</v>
      </c>
      <c r="U8" s="160" t="s">
        <v>137</v>
      </c>
      <c r="V8" s="159" t="s">
        <v>32</v>
      </c>
      <c r="W8" s="160" t="s">
        <v>138</v>
      </c>
      <c r="X8" s="160" t="s">
        <v>139</v>
      </c>
      <c r="Y8" s="160" t="s">
        <v>140</v>
      </c>
      <c r="Z8" s="159" t="s">
        <v>36</v>
      </c>
      <c r="AA8" s="160" t="s">
        <v>141</v>
      </c>
      <c r="AB8" s="160" t="s">
        <v>142</v>
      </c>
      <c r="AC8" s="160" t="s">
        <v>143</v>
      </c>
      <c r="AD8" s="159" t="s">
        <v>40</v>
      </c>
      <c r="AE8" s="160" t="s">
        <v>144</v>
      </c>
      <c r="AF8" s="160" t="s">
        <v>145</v>
      </c>
      <c r="AG8" s="160" t="s">
        <v>330</v>
      </c>
      <c r="AH8" s="159" t="s">
        <v>332</v>
      </c>
      <c r="AI8" s="160" t="s">
        <v>345</v>
      </c>
      <c r="AJ8" s="160" t="s">
        <v>361</v>
      </c>
      <c r="AK8" s="160" t="s">
        <v>351</v>
      </c>
      <c r="AL8" s="159" t="s">
        <v>364</v>
      </c>
      <c r="AM8" s="160" t="s">
        <v>386</v>
      </c>
    </row>
    <row r="9" spans="1:39" s="209" customFormat="1">
      <c r="A9" s="161" t="s">
        <v>146</v>
      </c>
      <c r="B9" s="232"/>
      <c r="C9" s="233"/>
      <c r="D9" s="234"/>
      <c r="E9" s="233"/>
      <c r="F9" s="233"/>
      <c r="G9" s="233"/>
      <c r="H9" s="234"/>
      <c r="I9" s="233"/>
      <c r="J9" s="233"/>
      <c r="K9" s="233"/>
      <c r="L9" s="232"/>
      <c r="M9" s="233"/>
      <c r="N9" s="234"/>
      <c r="O9" s="233"/>
      <c r="P9" s="233"/>
      <c r="Q9" s="233"/>
      <c r="R9" s="234"/>
      <c r="S9" s="233"/>
      <c r="T9" s="233"/>
      <c r="U9" s="233"/>
      <c r="V9" s="234"/>
      <c r="W9" s="233"/>
      <c r="X9" s="233"/>
      <c r="Y9" s="233"/>
      <c r="Z9" s="234"/>
      <c r="AA9" s="233"/>
      <c r="AB9" s="233"/>
      <c r="AC9" s="233"/>
      <c r="AD9" s="234"/>
      <c r="AE9" s="233"/>
      <c r="AF9" s="233"/>
      <c r="AG9" s="233"/>
      <c r="AH9" s="234"/>
      <c r="AI9" s="233"/>
      <c r="AJ9" s="233"/>
      <c r="AK9" s="233"/>
      <c r="AL9" s="234"/>
      <c r="AM9" s="233"/>
    </row>
    <row r="10" spans="1:39" s="209" customFormat="1" ht="13.5" customHeight="1">
      <c r="A10" s="235" t="s">
        <v>119</v>
      </c>
      <c r="B10" s="233" t="s">
        <v>45</v>
      </c>
      <c r="C10" s="233">
        <v>-145633</v>
      </c>
      <c r="D10" s="234">
        <v>-204285</v>
      </c>
      <c r="E10" s="233">
        <v>-23994</v>
      </c>
      <c r="F10" s="233">
        <v>-49176</v>
      </c>
      <c r="G10" s="233">
        <v>-78116</v>
      </c>
      <c r="H10" s="234">
        <v>-162517</v>
      </c>
      <c r="I10" s="233">
        <v>-29907</v>
      </c>
      <c r="J10" s="233">
        <v>-64054</v>
      </c>
      <c r="K10" s="233">
        <v>-197479</v>
      </c>
      <c r="L10" s="233"/>
      <c r="M10" s="233">
        <v>-146181</v>
      </c>
      <c r="N10" s="234">
        <v>-209484</v>
      </c>
      <c r="O10" s="233">
        <v>-23978</v>
      </c>
      <c r="P10" s="233">
        <v>-54486</v>
      </c>
      <c r="Q10" s="233">
        <v>-83293</v>
      </c>
      <c r="R10" s="234">
        <v>-169806</v>
      </c>
      <c r="S10" s="233">
        <v>-32172</v>
      </c>
      <c r="T10" s="233">
        <v>-73743</v>
      </c>
      <c r="U10" s="233">
        <v>-205032</v>
      </c>
      <c r="V10" s="234">
        <v>-509116</v>
      </c>
      <c r="W10" s="233">
        <v>-12670</v>
      </c>
      <c r="X10" s="233">
        <v>-61360</v>
      </c>
      <c r="Y10" s="233">
        <v>-89677</v>
      </c>
      <c r="Z10" s="234">
        <v>-178530</v>
      </c>
      <c r="AA10" s="233">
        <v>-39200</v>
      </c>
      <c r="AB10" s="233">
        <v>-58570</v>
      </c>
      <c r="AC10" s="233">
        <v>-71781</v>
      </c>
      <c r="AD10" s="234">
        <v>-142390</v>
      </c>
      <c r="AE10" s="233">
        <v>-56956</v>
      </c>
      <c r="AF10" s="233">
        <v>-136155</v>
      </c>
      <c r="AG10" s="233">
        <v>-221437</v>
      </c>
      <c r="AH10" s="234">
        <v>-415581</v>
      </c>
      <c r="AI10" s="233">
        <v>-45436</v>
      </c>
      <c r="AJ10" s="233">
        <v>-76322</v>
      </c>
      <c r="AK10" s="233">
        <v>-99430</v>
      </c>
      <c r="AL10" s="234">
        <v>-124433</v>
      </c>
      <c r="AM10" s="233">
        <f>'3. Income Statement'!AY23</f>
        <v>-25573</v>
      </c>
    </row>
    <row r="11" spans="1:39" s="209" customFormat="1">
      <c r="A11" s="235" t="s">
        <v>147</v>
      </c>
      <c r="B11" s="233"/>
      <c r="C11" s="233"/>
      <c r="D11" s="234"/>
      <c r="E11" s="233"/>
      <c r="F11" s="233"/>
      <c r="G11" s="233"/>
      <c r="H11" s="234"/>
      <c r="I11" s="233"/>
      <c r="J11" s="233"/>
      <c r="K11" s="233"/>
      <c r="L11" s="233"/>
      <c r="M11" s="233"/>
      <c r="N11" s="234"/>
      <c r="O11" s="233"/>
      <c r="P11" s="233"/>
      <c r="Q11" s="233"/>
      <c r="R11" s="234"/>
      <c r="S11" s="233"/>
      <c r="T11" s="233"/>
      <c r="U11" s="233"/>
      <c r="V11" s="234"/>
      <c r="W11" s="233"/>
      <c r="X11" s="233"/>
      <c r="Y11" s="233"/>
      <c r="Z11" s="234"/>
      <c r="AA11" s="233"/>
      <c r="AB11" s="233"/>
      <c r="AC11" s="233"/>
      <c r="AD11" s="234"/>
      <c r="AE11" s="233"/>
      <c r="AF11" s="233"/>
      <c r="AG11" s="233"/>
      <c r="AH11" s="234"/>
      <c r="AI11" s="233"/>
      <c r="AJ11" s="233"/>
      <c r="AK11" s="233"/>
      <c r="AL11" s="234"/>
      <c r="AM11" s="233"/>
    </row>
    <row r="12" spans="1:39" s="209" customFormat="1" ht="13.5" customHeight="1">
      <c r="A12" s="236" t="s">
        <v>108</v>
      </c>
      <c r="B12" s="233"/>
      <c r="C12" s="233">
        <v>70779</v>
      </c>
      <c r="D12" s="234">
        <v>98890</v>
      </c>
      <c r="E12" s="233">
        <v>38019</v>
      </c>
      <c r="F12" s="233">
        <v>74386</v>
      </c>
      <c r="G12" s="233">
        <v>109428</v>
      </c>
      <c r="H12" s="234">
        <v>145485</v>
      </c>
      <c r="I12" s="233">
        <v>28020</v>
      </c>
      <c r="J12" s="233">
        <v>55211</v>
      </c>
      <c r="K12" s="233">
        <v>82326</v>
      </c>
      <c r="L12" s="233"/>
      <c r="M12" s="233">
        <v>70779</v>
      </c>
      <c r="N12" s="234">
        <v>98890</v>
      </c>
      <c r="O12" s="233">
        <v>36239</v>
      </c>
      <c r="P12" s="233">
        <v>70982</v>
      </c>
      <c r="Q12" s="233">
        <v>104393</v>
      </c>
      <c r="R12" s="234">
        <v>138077</v>
      </c>
      <c r="S12" s="233">
        <v>26624</v>
      </c>
      <c r="T12" s="233">
        <v>51403</v>
      </c>
      <c r="U12" s="233">
        <v>76482</v>
      </c>
      <c r="V12" s="234">
        <v>100903</v>
      </c>
      <c r="W12" s="233">
        <v>23185</v>
      </c>
      <c r="X12" s="233">
        <v>46032</v>
      </c>
      <c r="Y12" s="233">
        <v>68127</v>
      </c>
      <c r="Z12" s="234">
        <v>93953</v>
      </c>
      <c r="AA12" s="233">
        <v>19599</v>
      </c>
      <c r="AB12" s="233">
        <v>39020</v>
      </c>
      <c r="AC12" s="233">
        <v>58113</v>
      </c>
      <c r="AD12" s="234">
        <v>77150</v>
      </c>
      <c r="AE12" s="233">
        <v>18212</v>
      </c>
      <c r="AF12" s="233">
        <v>36205</v>
      </c>
      <c r="AG12" s="233">
        <v>53942</v>
      </c>
      <c r="AH12" s="234">
        <v>71831</v>
      </c>
      <c r="AI12" s="233">
        <v>16560</v>
      </c>
      <c r="AJ12" s="233">
        <v>31450</v>
      </c>
      <c r="AK12" s="233">
        <v>45848</v>
      </c>
      <c r="AL12" s="234">
        <v>60535</v>
      </c>
      <c r="AM12" s="233">
        <v>13507</v>
      </c>
    </row>
    <row r="13" spans="1:39" s="209" customFormat="1">
      <c r="A13" s="236" t="s">
        <v>148</v>
      </c>
      <c r="B13" s="233"/>
      <c r="C13" s="233">
        <v>23875</v>
      </c>
      <c r="D13" s="234">
        <v>23875</v>
      </c>
      <c r="E13" s="233">
        <v>0</v>
      </c>
      <c r="F13" s="233">
        <v>0</v>
      </c>
      <c r="G13" s="233">
        <v>0</v>
      </c>
      <c r="H13" s="234">
        <v>0</v>
      </c>
      <c r="I13" s="233">
        <v>0</v>
      </c>
      <c r="J13" s="233">
        <v>0</v>
      </c>
      <c r="K13" s="233">
        <v>0</v>
      </c>
      <c r="L13" s="233"/>
      <c r="M13" s="233">
        <v>28573</v>
      </c>
      <c r="N13" s="234">
        <v>28573</v>
      </c>
      <c r="O13" s="233">
        <v>0</v>
      </c>
      <c r="P13" s="233">
        <v>0</v>
      </c>
      <c r="Q13" s="233">
        <v>0</v>
      </c>
      <c r="R13" s="234" t="s">
        <v>121</v>
      </c>
      <c r="S13" s="233">
        <v>0</v>
      </c>
      <c r="T13" s="233">
        <v>0</v>
      </c>
      <c r="U13" s="233">
        <v>0</v>
      </c>
      <c r="V13" s="234">
        <v>0</v>
      </c>
      <c r="W13" s="233">
        <v>0</v>
      </c>
      <c r="X13" s="233">
        <v>0</v>
      </c>
      <c r="Y13" s="233">
        <v>0</v>
      </c>
      <c r="Z13" s="234">
        <v>0</v>
      </c>
      <c r="AA13" s="233">
        <v>0</v>
      </c>
      <c r="AB13" s="233">
        <v>0</v>
      </c>
      <c r="AC13" s="233">
        <v>0</v>
      </c>
      <c r="AD13" s="234">
        <v>0</v>
      </c>
      <c r="AE13" s="233">
        <v>0</v>
      </c>
      <c r="AF13" s="233">
        <v>0</v>
      </c>
      <c r="AG13" s="233">
        <v>0</v>
      </c>
      <c r="AH13" s="234">
        <v>0</v>
      </c>
      <c r="AI13" s="233">
        <v>0</v>
      </c>
      <c r="AJ13" s="233"/>
      <c r="AK13" s="233">
        <v>0</v>
      </c>
      <c r="AL13" s="234">
        <v>0</v>
      </c>
      <c r="AM13" s="233"/>
    </row>
    <row r="14" spans="1:39" s="209" customFormat="1" ht="13.5" customHeight="1">
      <c r="A14" s="236" t="s">
        <v>149</v>
      </c>
      <c r="B14" s="233"/>
      <c r="C14" s="233">
        <v>10000</v>
      </c>
      <c r="D14" s="234">
        <v>10000</v>
      </c>
      <c r="E14" s="233">
        <v>0</v>
      </c>
      <c r="F14" s="233">
        <v>0</v>
      </c>
      <c r="G14" s="233">
        <v>0</v>
      </c>
      <c r="H14" s="234">
        <v>0</v>
      </c>
      <c r="I14" s="233">
        <v>0</v>
      </c>
      <c r="J14" s="233">
        <v>0</v>
      </c>
      <c r="K14" s="233">
        <v>0</v>
      </c>
      <c r="L14" s="233"/>
      <c r="M14" s="233">
        <v>10000</v>
      </c>
      <c r="N14" s="234">
        <v>10000</v>
      </c>
      <c r="O14" s="233">
        <v>0</v>
      </c>
      <c r="P14" s="233">
        <v>0</v>
      </c>
      <c r="Q14" s="233">
        <v>0</v>
      </c>
      <c r="R14" s="234" t="s">
        <v>121</v>
      </c>
      <c r="S14" s="233">
        <v>0</v>
      </c>
      <c r="T14" s="233">
        <v>0</v>
      </c>
      <c r="U14" s="233">
        <v>0</v>
      </c>
      <c r="V14" s="234">
        <v>0</v>
      </c>
      <c r="W14" s="233">
        <v>0</v>
      </c>
      <c r="X14" s="233">
        <v>0</v>
      </c>
      <c r="Y14" s="233">
        <v>0</v>
      </c>
      <c r="Z14" s="234">
        <v>0</v>
      </c>
      <c r="AA14" s="233">
        <v>0</v>
      </c>
      <c r="AB14" s="233">
        <v>0</v>
      </c>
      <c r="AC14" s="233">
        <v>0</v>
      </c>
      <c r="AD14" s="234">
        <v>0</v>
      </c>
      <c r="AE14" s="233">
        <v>0</v>
      </c>
      <c r="AF14" s="233">
        <v>0</v>
      </c>
      <c r="AG14" s="233">
        <v>0</v>
      </c>
      <c r="AH14" s="234">
        <v>0</v>
      </c>
      <c r="AI14" s="233">
        <v>0</v>
      </c>
      <c r="AJ14" s="233"/>
      <c r="AK14" s="233">
        <v>0</v>
      </c>
      <c r="AL14" s="234">
        <v>0</v>
      </c>
      <c r="AM14" s="233"/>
    </row>
    <row r="15" spans="1:39" s="209" customFormat="1">
      <c r="A15" s="236" t="s">
        <v>150</v>
      </c>
      <c r="B15" s="233"/>
      <c r="C15" s="233">
        <v>9684</v>
      </c>
      <c r="D15" s="234">
        <v>12280</v>
      </c>
      <c r="E15" s="233">
        <v>2595</v>
      </c>
      <c r="F15" s="233">
        <v>5272</v>
      </c>
      <c r="G15" s="233">
        <v>8062</v>
      </c>
      <c r="H15" s="234">
        <v>10913</v>
      </c>
      <c r="I15" s="233">
        <v>2852</v>
      </c>
      <c r="J15" s="233">
        <v>5749</v>
      </c>
      <c r="K15" s="233">
        <v>8730</v>
      </c>
      <c r="L15" s="233"/>
      <c r="M15" s="233">
        <v>9684</v>
      </c>
      <c r="N15" s="234">
        <v>12280</v>
      </c>
      <c r="O15" s="233">
        <v>2595</v>
      </c>
      <c r="P15" s="233">
        <v>5272</v>
      </c>
      <c r="Q15" s="233">
        <v>8062</v>
      </c>
      <c r="R15" s="234">
        <v>10913</v>
      </c>
      <c r="S15" s="233">
        <v>2852</v>
      </c>
      <c r="T15" s="233">
        <v>5749</v>
      </c>
      <c r="U15" s="233">
        <v>8730</v>
      </c>
      <c r="V15" s="234">
        <v>11777</v>
      </c>
      <c r="W15" s="233">
        <v>3193</v>
      </c>
      <c r="X15" s="233">
        <v>6857</v>
      </c>
      <c r="Y15" s="233">
        <v>10979</v>
      </c>
      <c r="Z15" s="234">
        <v>15117</v>
      </c>
      <c r="AA15" s="233">
        <v>3840</v>
      </c>
      <c r="AB15" s="233">
        <v>7829</v>
      </c>
      <c r="AC15" s="233">
        <v>11684</v>
      </c>
      <c r="AD15" s="234">
        <v>16319</v>
      </c>
      <c r="AE15" s="233">
        <v>3531</v>
      </c>
      <c r="AF15" s="233">
        <v>5804</v>
      </c>
      <c r="AG15" s="233">
        <v>10383</v>
      </c>
      <c r="AH15" s="234">
        <v>15261</v>
      </c>
      <c r="AI15" s="233">
        <v>7456</v>
      </c>
      <c r="AJ15" s="233">
        <v>16064</v>
      </c>
      <c r="AK15" s="233">
        <v>9976</v>
      </c>
      <c r="AL15" s="234">
        <v>5411</v>
      </c>
      <c r="AM15" s="233">
        <v>-9916</v>
      </c>
    </row>
    <row r="16" spans="1:39" s="209" customFormat="1">
      <c r="A16" s="236" t="s">
        <v>374</v>
      </c>
      <c r="B16" s="233"/>
      <c r="C16" s="233"/>
      <c r="D16" s="234"/>
      <c r="E16" s="233"/>
      <c r="F16" s="233"/>
      <c r="G16" s="233"/>
      <c r="H16" s="234"/>
      <c r="I16" s="233"/>
      <c r="J16" s="233"/>
      <c r="K16" s="233"/>
      <c r="L16" s="233"/>
      <c r="M16" s="233"/>
      <c r="N16" s="234"/>
      <c r="O16" s="233"/>
      <c r="P16" s="233"/>
      <c r="Q16" s="233"/>
      <c r="R16" s="234"/>
      <c r="S16" s="233"/>
      <c r="T16" s="233"/>
      <c r="U16" s="233"/>
      <c r="V16" s="234"/>
      <c r="W16" s="233"/>
      <c r="X16" s="233"/>
      <c r="Y16" s="233"/>
      <c r="Z16" s="234"/>
      <c r="AA16" s="233"/>
      <c r="AB16" s="233"/>
      <c r="AC16" s="233"/>
      <c r="AD16" s="234"/>
      <c r="AE16" s="233"/>
      <c r="AF16" s="233"/>
      <c r="AG16" s="233"/>
      <c r="AH16" s="234"/>
      <c r="AI16" s="233">
        <v>-2232</v>
      </c>
      <c r="AJ16" s="233"/>
      <c r="AK16" s="233"/>
      <c r="AL16" s="234">
        <v>-10754</v>
      </c>
      <c r="AM16" s="233">
        <v>-1110</v>
      </c>
    </row>
    <row r="17" spans="1:39" s="209" customFormat="1" ht="13.5" customHeight="1">
      <c r="A17" s="236" t="s">
        <v>109</v>
      </c>
      <c r="B17" s="233"/>
      <c r="C17" s="233">
        <v>0</v>
      </c>
      <c r="D17" s="234">
        <v>69437</v>
      </c>
      <c r="E17" s="233">
        <v>0</v>
      </c>
      <c r="F17" s="233">
        <v>0</v>
      </c>
      <c r="G17" s="233">
        <v>0</v>
      </c>
      <c r="H17" s="234">
        <v>48127</v>
      </c>
      <c r="I17" s="233">
        <v>0</v>
      </c>
      <c r="J17" s="233">
        <v>0</v>
      </c>
      <c r="K17" s="233">
        <v>99682</v>
      </c>
      <c r="L17" s="233"/>
      <c r="M17" s="233">
        <v>0</v>
      </c>
      <c r="N17" s="234">
        <v>69437</v>
      </c>
      <c r="O17" s="233">
        <v>0</v>
      </c>
      <c r="P17" s="233">
        <v>0</v>
      </c>
      <c r="Q17" s="233">
        <v>0</v>
      </c>
      <c r="R17" s="234">
        <v>48127</v>
      </c>
      <c r="S17" s="233">
        <v>0</v>
      </c>
      <c r="T17" s="233">
        <v>0</v>
      </c>
      <c r="U17" s="233">
        <v>97158</v>
      </c>
      <c r="V17" s="234">
        <v>349557</v>
      </c>
      <c r="W17" s="233">
        <v>0</v>
      </c>
      <c r="X17" s="233">
        <v>0</v>
      </c>
      <c r="Y17" s="233">
        <v>0</v>
      </c>
      <c r="Z17" s="234">
        <v>0</v>
      </c>
      <c r="AA17" s="233">
        <v>0</v>
      </c>
      <c r="AB17" s="233">
        <v>0</v>
      </c>
      <c r="AC17" s="233">
        <v>0</v>
      </c>
      <c r="AD17" s="234">
        <v>0</v>
      </c>
      <c r="AE17" s="233">
        <v>0</v>
      </c>
      <c r="AF17" s="233">
        <v>0</v>
      </c>
      <c r="AG17" s="233">
        <v>29565</v>
      </c>
      <c r="AH17" s="234">
        <v>171182</v>
      </c>
      <c r="AI17" s="233">
        <v>0</v>
      </c>
      <c r="AJ17" s="233"/>
      <c r="AK17" s="233"/>
      <c r="AL17" s="234">
        <v>0</v>
      </c>
      <c r="AM17" s="233">
        <v>0</v>
      </c>
    </row>
    <row r="18" spans="1:39" s="209" customFormat="1">
      <c r="A18" s="236" t="s">
        <v>151</v>
      </c>
      <c r="B18" s="233"/>
      <c r="C18" s="233">
        <v>0</v>
      </c>
      <c r="D18" s="234">
        <v>0</v>
      </c>
      <c r="E18" s="233">
        <v>0</v>
      </c>
      <c r="F18" s="233">
        <v>0</v>
      </c>
      <c r="G18" s="233">
        <v>0</v>
      </c>
      <c r="H18" s="234">
        <v>0</v>
      </c>
      <c r="I18" s="233">
        <v>0</v>
      </c>
      <c r="J18" s="233">
        <v>1049</v>
      </c>
      <c r="K18" s="233">
        <v>1049</v>
      </c>
      <c r="L18" s="233"/>
      <c r="M18" s="233">
        <v>34459</v>
      </c>
      <c r="N18" s="234">
        <v>34459</v>
      </c>
      <c r="O18" s="233">
        <v>0</v>
      </c>
      <c r="P18" s="233">
        <v>0</v>
      </c>
      <c r="Q18" s="233">
        <v>103</v>
      </c>
      <c r="R18" s="234">
        <v>103</v>
      </c>
      <c r="S18" s="233">
        <v>0</v>
      </c>
      <c r="T18" s="233">
        <v>1049</v>
      </c>
      <c r="U18" s="233">
        <v>1049</v>
      </c>
      <c r="V18" s="234">
        <v>1049</v>
      </c>
      <c r="W18" s="233">
        <v>0</v>
      </c>
      <c r="X18" s="233">
        <v>0</v>
      </c>
      <c r="Y18" s="233">
        <v>0</v>
      </c>
      <c r="Z18" s="234">
        <v>8296</v>
      </c>
      <c r="AA18" s="233">
        <v>0</v>
      </c>
      <c r="AB18" s="233">
        <v>0</v>
      </c>
      <c r="AC18" s="233">
        <v>-28070</v>
      </c>
      <c r="AD18" s="234">
        <v>-30613</v>
      </c>
      <c r="AE18" s="233">
        <v>196</v>
      </c>
      <c r="AF18" s="233">
        <v>3533</v>
      </c>
      <c r="AG18" s="233">
        <v>-1803</v>
      </c>
      <c r="AH18" s="234">
        <v>-1803</v>
      </c>
      <c r="AI18" s="233">
        <v>-9760</v>
      </c>
      <c r="AJ18" s="233">
        <v>-16964</v>
      </c>
      <c r="AK18" s="233">
        <v>-17534</v>
      </c>
      <c r="AL18" s="234">
        <v>-17534</v>
      </c>
      <c r="AM18" s="233">
        <v>0</v>
      </c>
    </row>
    <row r="19" spans="1:39" s="209" customFormat="1">
      <c r="A19" s="236" t="s">
        <v>373</v>
      </c>
      <c r="B19" s="233"/>
      <c r="C19" s="233"/>
      <c r="D19" s="234"/>
      <c r="E19" s="233"/>
      <c r="F19" s="233"/>
      <c r="G19" s="233"/>
      <c r="H19" s="234"/>
      <c r="I19" s="233"/>
      <c r="J19" s="233"/>
      <c r="K19" s="233"/>
      <c r="L19" s="233"/>
      <c r="M19" s="233"/>
      <c r="N19" s="234"/>
      <c r="O19" s="233"/>
      <c r="P19" s="233"/>
      <c r="Q19" s="233"/>
      <c r="R19" s="234"/>
      <c r="S19" s="233"/>
      <c r="T19" s="233"/>
      <c r="U19" s="233"/>
      <c r="V19" s="234"/>
      <c r="W19" s="233"/>
      <c r="X19" s="233"/>
      <c r="Y19" s="233"/>
      <c r="Z19" s="234"/>
      <c r="AA19" s="233"/>
      <c r="AB19" s="233"/>
      <c r="AC19" s="233"/>
      <c r="AD19" s="234"/>
      <c r="AE19" s="233"/>
      <c r="AF19" s="233"/>
      <c r="AG19" s="233"/>
      <c r="AH19" s="234"/>
      <c r="AI19" s="233"/>
      <c r="AJ19" s="233"/>
      <c r="AK19" s="233"/>
      <c r="AL19" s="234">
        <v>1942</v>
      </c>
      <c r="AM19" s="233">
        <v>0</v>
      </c>
    </row>
    <row r="20" spans="1:39" s="209" customFormat="1" ht="13.5" customHeight="1">
      <c r="A20" s="236" t="s">
        <v>344</v>
      </c>
      <c r="B20" s="233"/>
      <c r="C20" s="233">
        <v>451</v>
      </c>
      <c r="D20" s="234">
        <v>500</v>
      </c>
      <c r="E20" s="233">
        <v>481</v>
      </c>
      <c r="F20" s="233">
        <v>1857</v>
      </c>
      <c r="G20" s="233">
        <v>2470</v>
      </c>
      <c r="H20" s="234">
        <v>2767</v>
      </c>
      <c r="I20" s="233">
        <v>800</v>
      </c>
      <c r="J20" s="233">
        <v>3334</v>
      </c>
      <c r="K20" s="233">
        <v>4402</v>
      </c>
      <c r="L20" s="233"/>
      <c r="M20" s="233">
        <v>451</v>
      </c>
      <c r="N20" s="234">
        <v>500</v>
      </c>
      <c r="O20" s="233">
        <v>481</v>
      </c>
      <c r="P20" s="233">
        <v>1857</v>
      </c>
      <c r="Q20" s="233">
        <v>2470</v>
      </c>
      <c r="R20" s="234">
        <v>2767</v>
      </c>
      <c r="S20" s="233">
        <v>800</v>
      </c>
      <c r="T20" s="233">
        <v>3334</v>
      </c>
      <c r="U20" s="233">
        <v>4402</v>
      </c>
      <c r="V20" s="234">
        <v>4304</v>
      </c>
      <c r="W20" s="233">
        <v>74</v>
      </c>
      <c r="X20" s="233">
        <v>-110</v>
      </c>
      <c r="Y20" s="233">
        <v>415</v>
      </c>
      <c r="Z20" s="234">
        <v>422</v>
      </c>
      <c r="AA20" s="233">
        <v>50</v>
      </c>
      <c r="AB20" s="233">
        <v>1781</v>
      </c>
      <c r="AC20" s="233">
        <v>2427</v>
      </c>
      <c r="AD20" s="234">
        <v>2714</v>
      </c>
      <c r="AE20" s="233">
        <v>61</v>
      </c>
      <c r="AF20" s="233">
        <v>285</v>
      </c>
      <c r="AG20" s="233">
        <v>704</v>
      </c>
      <c r="AH20" s="234">
        <v>1573</v>
      </c>
      <c r="AI20" s="233">
        <v>1983</v>
      </c>
      <c r="AJ20" s="233">
        <v>2865</v>
      </c>
      <c r="AK20" s="233">
        <v>1818</v>
      </c>
      <c r="AL20" s="234">
        <v>4486</v>
      </c>
      <c r="AM20" s="233">
        <v>4491</v>
      </c>
    </row>
    <row r="21" spans="1:39" s="209" customFormat="1">
      <c r="A21" s="236" t="s">
        <v>152</v>
      </c>
      <c r="B21" s="233"/>
      <c r="C21" s="233">
        <v>-37186</v>
      </c>
      <c r="D21" s="234">
        <v>-66723</v>
      </c>
      <c r="E21" s="233">
        <v>835</v>
      </c>
      <c r="F21" s="233">
        <v>705</v>
      </c>
      <c r="G21" s="233">
        <v>-3689</v>
      </c>
      <c r="H21" s="234">
        <v>3352</v>
      </c>
      <c r="I21" s="233">
        <v>1076</v>
      </c>
      <c r="J21" s="233">
        <v>4623</v>
      </c>
      <c r="K21" s="233">
        <v>1632</v>
      </c>
      <c r="L21" s="233"/>
      <c r="M21" s="233">
        <v>-37186</v>
      </c>
      <c r="N21" s="234">
        <v>-67545</v>
      </c>
      <c r="O21" s="233">
        <v>835</v>
      </c>
      <c r="P21" s="233">
        <v>705</v>
      </c>
      <c r="Q21" s="233">
        <v>-3689</v>
      </c>
      <c r="R21" s="234">
        <v>3220</v>
      </c>
      <c r="S21" s="233">
        <v>1076</v>
      </c>
      <c r="T21" s="233">
        <v>4623</v>
      </c>
      <c r="U21" s="233">
        <v>1632</v>
      </c>
      <c r="V21" s="234">
        <v>1093</v>
      </c>
      <c r="W21" s="233">
        <v>-401</v>
      </c>
      <c r="X21" s="233">
        <v>-338</v>
      </c>
      <c r="Y21" s="233">
        <v>-417</v>
      </c>
      <c r="Z21" s="234">
        <v>7940</v>
      </c>
      <c r="AA21" s="233">
        <v>-297</v>
      </c>
      <c r="AB21" s="233">
        <v>-41</v>
      </c>
      <c r="AC21" s="233">
        <v>484</v>
      </c>
      <c r="AD21" s="234">
        <v>6649</v>
      </c>
      <c r="AE21" s="233">
        <v>635</v>
      </c>
      <c r="AF21" s="233">
        <v>1383</v>
      </c>
      <c r="AG21" s="233">
        <v>2492</v>
      </c>
      <c r="AH21" s="234">
        <v>147</v>
      </c>
      <c r="AI21" s="233">
        <v>521</v>
      </c>
      <c r="AJ21" s="233">
        <v>776</v>
      </c>
      <c r="AK21" s="233">
        <v>680</v>
      </c>
      <c r="AL21" s="234">
        <v>-1048</v>
      </c>
      <c r="AM21" s="294">
        <v>957</v>
      </c>
    </row>
    <row r="22" spans="1:39" s="209" customFormat="1" ht="13.5" customHeight="1">
      <c r="A22" s="236" t="s">
        <v>153</v>
      </c>
      <c r="B22" s="233"/>
      <c r="C22" s="233">
        <v>4446</v>
      </c>
      <c r="D22" s="234">
        <v>6743</v>
      </c>
      <c r="E22" s="233">
        <v>959</v>
      </c>
      <c r="F22" s="233">
        <v>2895</v>
      </c>
      <c r="G22" s="233">
        <v>4516</v>
      </c>
      <c r="H22" s="234">
        <v>7647</v>
      </c>
      <c r="I22" s="233">
        <v>2798</v>
      </c>
      <c r="J22" s="233">
        <v>5459</v>
      </c>
      <c r="K22" s="233">
        <v>6903</v>
      </c>
      <c r="L22" s="233"/>
      <c r="M22" s="233">
        <v>4446</v>
      </c>
      <c r="N22" s="234">
        <v>6743</v>
      </c>
      <c r="O22" s="233">
        <v>959</v>
      </c>
      <c r="P22" s="233">
        <v>2895</v>
      </c>
      <c r="Q22" s="233">
        <v>4516</v>
      </c>
      <c r="R22" s="234">
        <v>7647</v>
      </c>
      <c r="S22" s="233">
        <v>2798</v>
      </c>
      <c r="T22" s="233">
        <v>5459</v>
      </c>
      <c r="U22" s="233">
        <v>6903</v>
      </c>
      <c r="V22" s="234">
        <v>7827</v>
      </c>
      <c r="W22" s="233">
        <v>861</v>
      </c>
      <c r="X22" s="233">
        <v>1782</v>
      </c>
      <c r="Y22" s="233">
        <v>2480</v>
      </c>
      <c r="Z22" s="234">
        <v>2846</v>
      </c>
      <c r="AA22" s="233">
        <v>387</v>
      </c>
      <c r="AB22" s="233">
        <v>980</v>
      </c>
      <c r="AC22" s="233">
        <v>1519</v>
      </c>
      <c r="AD22" s="234">
        <v>3940</v>
      </c>
      <c r="AE22" s="233">
        <v>308</v>
      </c>
      <c r="AF22" s="233">
        <v>836</v>
      </c>
      <c r="AG22" s="233">
        <v>694</v>
      </c>
      <c r="AH22" s="234">
        <v>970</v>
      </c>
      <c r="AI22" s="233">
        <v>111</v>
      </c>
      <c r="AJ22" s="233">
        <v>314</v>
      </c>
      <c r="AK22" s="233">
        <v>566</v>
      </c>
      <c r="AL22" s="234">
        <v>115</v>
      </c>
      <c r="AM22" s="233">
        <v>1183</v>
      </c>
    </row>
    <row r="23" spans="1:39" s="209" customFormat="1">
      <c r="A23" s="236" t="s">
        <v>154</v>
      </c>
      <c r="B23" s="233"/>
      <c r="C23" s="233">
        <v>777</v>
      </c>
      <c r="D23" s="234">
        <v>1382</v>
      </c>
      <c r="E23" s="233">
        <v>-323</v>
      </c>
      <c r="F23" s="233">
        <v>-1156</v>
      </c>
      <c r="G23" s="233">
        <v>-2040</v>
      </c>
      <c r="H23" s="234">
        <v>-1180</v>
      </c>
      <c r="I23" s="233">
        <v>35</v>
      </c>
      <c r="J23" s="233">
        <v>288</v>
      </c>
      <c r="K23" s="233">
        <v>-173</v>
      </c>
      <c r="L23" s="233"/>
      <c r="M23" s="233">
        <v>777</v>
      </c>
      <c r="N23" s="234">
        <v>1382</v>
      </c>
      <c r="O23" s="233">
        <v>-323</v>
      </c>
      <c r="P23" s="233">
        <v>-1156</v>
      </c>
      <c r="Q23" s="233">
        <v>-2040</v>
      </c>
      <c r="R23" s="234">
        <v>-1180</v>
      </c>
      <c r="S23" s="233">
        <v>35</v>
      </c>
      <c r="T23" s="233">
        <v>288</v>
      </c>
      <c r="U23" s="233">
        <v>-173</v>
      </c>
      <c r="V23" s="234">
        <v>-511</v>
      </c>
      <c r="W23" s="233">
        <v>-936</v>
      </c>
      <c r="X23" s="233">
        <v>-980</v>
      </c>
      <c r="Y23" s="233">
        <v>-499</v>
      </c>
      <c r="Z23" s="234">
        <v>-414</v>
      </c>
      <c r="AA23" s="233">
        <v>-159</v>
      </c>
      <c r="AB23" s="233">
        <v>-485</v>
      </c>
      <c r="AC23" s="233">
        <v>-604</v>
      </c>
      <c r="AD23" s="234">
        <v>173</v>
      </c>
      <c r="AE23" s="233">
        <v>-180</v>
      </c>
      <c r="AF23" s="233">
        <v>-989</v>
      </c>
      <c r="AG23" s="233">
        <v>-1503</v>
      </c>
      <c r="AH23" s="234">
        <v>-1288</v>
      </c>
      <c r="AI23" s="233">
        <v>238</v>
      </c>
      <c r="AJ23" s="233">
        <v>521</v>
      </c>
      <c r="AK23" s="233">
        <v>-143</v>
      </c>
      <c r="AL23" s="234">
        <v>-70</v>
      </c>
      <c r="AM23" s="233">
        <v>18</v>
      </c>
    </row>
    <row r="24" spans="1:39" s="209" customFormat="1" ht="13.5" customHeight="1">
      <c r="A24" s="236" t="s">
        <v>155</v>
      </c>
      <c r="B24" s="233"/>
      <c r="C24" s="233">
        <v>-588</v>
      </c>
      <c r="D24" s="234">
        <v>-588</v>
      </c>
      <c r="E24" s="233">
        <v>0</v>
      </c>
      <c r="F24" s="233">
        <v>1340</v>
      </c>
      <c r="G24" s="233">
        <v>1835</v>
      </c>
      <c r="H24" s="234">
        <v>2095</v>
      </c>
      <c r="I24" s="233">
        <v>9</v>
      </c>
      <c r="J24" s="233">
        <v>-10</v>
      </c>
      <c r="K24" s="233">
        <v>-191</v>
      </c>
      <c r="L24" s="233"/>
      <c r="M24" s="233">
        <v>-80</v>
      </c>
      <c r="N24" s="234">
        <v>556</v>
      </c>
      <c r="O24" s="233">
        <v>279</v>
      </c>
      <c r="P24" s="233">
        <v>1395</v>
      </c>
      <c r="Q24" s="233">
        <v>2048</v>
      </c>
      <c r="R24" s="234">
        <v>2687</v>
      </c>
      <c r="S24" s="233">
        <v>54</v>
      </c>
      <c r="T24" s="233">
        <v>85</v>
      </c>
      <c r="U24" s="233">
        <v>123</v>
      </c>
      <c r="V24" s="234">
        <v>556</v>
      </c>
      <c r="W24" s="233">
        <v>-35246</v>
      </c>
      <c r="X24" s="233">
        <v>-34791</v>
      </c>
      <c r="Y24" s="233">
        <v>-44868</v>
      </c>
      <c r="Z24" s="234">
        <v>-43338</v>
      </c>
      <c r="AA24" s="233">
        <v>29</v>
      </c>
      <c r="AB24" s="233">
        <v>-238</v>
      </c>
      <c r="AC24" s="233">
        <v>-112</v>
      </c>
      <c r="AD24" s="234">
        <v>-960</v>
      </c>
      <c r="AE24" s="233">
        <v>-41</v>
      </c>
      <c r="AF24" s="233">
        <v>508</v>
      </c>
      <c r="AG24" s="233">
        <v>548</v>
      </c>
      <c r="AH24" s="234">
        <v>707</v>
      </c>
      <c r="AI24" s="233">
        <v>88</v>
      </c>
      <c r="AJ24" s="233">
        <v>-5831</v>
      </c>
      <c r="AK24" s="233">
        <v>-6579</v>
      </c>
      <c r="AL24" s="234">
        <v>-7044</v>
      </c>
      <c r="AM24" s="233">
        <v>-602</v>
      </c>
    </row>
    <row r="25" spans="1:39" s="209" customFormat="1" ht="13.5" customHeight="1">
      <c r="A25" s="236" t="s">
        <v>372</v>
      </c>
      <c r="B25" s="233"/>
      <c r="C25" s="233"/>
      <c r="D25" s="234"/>
      <c r="E25" s="233"/>
      <c r="F25" s="233"/>
      <c r="G25" s="233"/>
      <c r="H25" s="234"/>
      <c r="I25" s="233"/>
      <c r="J25" s="233"/>
      <c r="K25" s="233"/>
      <c r="L25" s="233"/>
      <c r="M25" s="233"/>
      <c r="N25" s="234"/>
      <c r="O25" s="233"/>
      <c r="P25" s="233"/>
      <c r="Q25" s="233"/>
      <c r="R25" s="234"/>
      <c r="S25" s="233"/>
      <c r="T25" s="233"/>
      <c r="U25" s="233"/>
      <c r="V25" s="234"/>
      <c r="W25" s="233"/>
      <c r="X25" s="233"/>
      <c r="Y25" s="233"/>
      <c r="Z25" s="234"/>
      <c r="AA25" s="233"/>
      <c r="AB25" s="233"/>
      <c r="AC25" s="233"/>
      <c r="AD25" s="234"/>
      <c r="AE25" s="233"/>
      <c r="AF25" s="233"/>
      <c r="AG25" s="233"/>
      <c r="AH25" s="234"/>
      <c r="AI25" s="233"/>
      <c r="AJ25" s="233"/>
      <c r="AK25" s="233"/>
      <c r="AL25" s="234">
        <v>597</v>
      </c>
      <c r="AM25" s="233">
        <v>-37</v>
      </c>
    </row>
    <row r="26" spans="1:39" s="209" customFormat="1">
      <c r="A26" s="236" t="s">
        <v>156</v>
      </c>
      <c r="B26" s="233"/>
      <c r="C26" s="233">
        <v>508</v>
      </c>
      <c r="D26" s="234">
        <v>987</v>
      </c>
      <c r="E26" s="233">
        <v>253</v>
      </c>
      <c r="F26" s="233">
        <v>0</v>
      </c>
      <c r="G26" s="233">
        <v>0</v>
      </c>
      <c r="H26" s="234">
        <v>0</v>
      </c>
      <c r="I26" s="233">
        <v>0</v>
      </c>
      <c r="J26" s="233">
        <v>0</v>
      </c>
      <c r="K26" s="233">
        <v>0</v>
      </c>
      <c r="L26" s="233"/>
      <c r="M26" s="233">
        <v>0</v>
      </c>
      <c r="N26" s="234">
        <v>0</v>
      </c>
      <c r="O26" s="233">
        <v>0</v>
      </c>
      <c r="P26" s="233">
        <v>0</v>
      </c>
      <c r="Q26" s="233">
        <v>0</v>
      </c>
      <c r="R26" s="234">
        <v>0</v>
      </c>
      <c r="S26" s="233">
        <v>0</v>
      </c>
      <c r="T26" s="233">
        <v>0</v>
      </c>
      <c r="U26" s="233">
        <v>0</v>
      </c>
      <c r="V26" s="234">
        <v>0</v>
      </c>
      <c r="W26" s="233">
        <v>0</v>
      </c>
      <c r="X26" s="233">
        <v>0</v>
      </c>
      <c r="Y26" s="233">
        <v>0</v>
      </c>
      <c r="Z26" s="234">
        <v>0</v>
      </c>
      <c r="AA26" s="233">
        <v>0</v>
      </c>
      <c r="AB26" s="233">
        <v>0</v>
      </c>
      <c r="AC26" s="233">
        <v>0</v>
      </c>
      <c r="AD26" s="234">
        <v>0</v>
      </c>
      <c r="AE26" s="233">
        <v>0</v>
      </c>
      <c r="AF26" s="233">
        <v>0</v>
      </c>
      <c r="AG26" s="233">
        <v>0</v>
      </c>
      <c r="AH26" s="234">
        <v>0</v>
      </c>
      <c r="AI26" s="233">
        <v>0</v>
      </c>
      <c r="AJ26" s="233"/>
      <c r="AK26" s="233">
        <v>0</v>
      </c>
      <c r="AL26" s="234">
        <v>0</v>
      </c>
      <c r="AM26" s="233"/>
    </row>
    <row r="27" spans="1:39" s="209" customFormat="1" ht="13.5" customHeight="1">
      <c r="A27" s="236" t="s">
        <v>157</v>
      </c>
      <c r="B27" s="233"/>
      <c r="C27" s="233">
        <v>0</v>
      </c>
      <c r="D27" s="234">
        <v>-1297</v>
      </c>
      <c r="E27" s="233">
        <v>-3328</v>
      </c>
      <c r="F27" s="233">
        <v>-4675</v>
      </c>
      <c r="G27" s="233">
        <v>-5456</v>
      </c>
      <c r="H27" s="234">
        <v>-2540</v>
      </c>
      <c r="I27" s="233">
        <v>1677</v>
      </c>
      <c r="J27" s="233">
        <v>4385</v>
      </c>
      <c r="K27" s="233">
        <v>4965</v>
      </c>
      <c r="L27" s="233"/>
      <c r="M27" s="233">
        <v>0</v>
      </c>
      <c r="N27" s="234">
        <v>-1297</v>
      </c>
      <c r="O27" s="233">
        <v>-3328</v>
      </c>
      <c r="P27" s="233">
        <v>-4675</v>
      </c>
      <c r="Q27" s="233">
        <v>-5456</v>
      </c>
      <c r="R27" s="234">
        <v>-2540</v>
      </c>
      <c r="S27" s="233">
        <v>1677</v>
      </c>
      <c r="T27" s="233">
        <v>4385</v>
      </c>
      <c r="U27" s="233">
        <v>4965</v>
      </c>
      <c r="V27" s="234">
        <v>4337</v>
      </c>
      <c r="W27" s="233">
        <v>845</v>
      </c>
      <c r="X27" s="233">
        <v>440</v>
      </c>
      <c r="Y27" s="233">
        <v>23</v>
      </c>
      <c r="Z27" s="234">
        <v>-375</v>
      </c>
      <c r="AA27" s="233">
        <v>-125</v>
      </c>
      <c r="AB27" s="233">
        <v>-125</v>
      </c>
      <c r="AC27" s="233">
        <v>-125</v>
      </c>
      <c r="AD27" s="234">
        <v>-125</v>
      </c>
      <c r="AE27" s="233">
        <v>0</v>
      </c>
      <c r="AF27" s="233">
        <v>0</v>
      </c>
      <c r="AG27" s="233">
        <v>0</v>
      </c>
      <c r="AH27" s="234">
        <v>0</v>
      </c>
      <c r="AI27" s="233">
        <v>0</v>
      </c>
      <c r="AJ27" s="233"/>
      <c r="AK27" s="233">
        <v>0</v>
      </c>
      <c r="AL27" s="234">
        <v>0</v>
      </c>
      <c r="AM27" s="233"/>
    </row>
    <row r="28" spans="1:39" s="209" customFormat="1">
      <c r="A28" s="236" t="s">
        <v>158</v>
      </c>
      <c r="B28" s="233"/>
      <c r="C28" s="233"/>
      <c r="D28" s="234"/>
      <c r="E28" s="233"/>
      <c r="F28" s="233"/>
      <c r="G28" s="233"/>
      <c r="H28" s="234" t="s">
        <v>159</v>
      </c>
      <c r="I28" s="233"/>
      <c r="J28" s="233"/>
      <c r="K28" s="233"/>
      <c r="L28" s="233"/>
      <c r="M28" s="233"/>
      <c r="N28" s="234" t="s">
        <v>160</v>
      </c>
      <c r="O28" s="233"/>
      <c r="P28" s="233"/>
      <c r="Q28" s="233"/>
      <c r="R28" s="234" t="s">
        <v>160</v>
      </c>
      <c r="S28" s="233"/>
      <c r="T28" s="233"/>
      <c r="U28" s="233"/>
      <c r="V28" s="234"/>
      <c r="W28" s="233"/>
      <c r="X28" s="233"/>
      <c r="Y28" s="233"/>
      <c r="Z28" s="234"/>
      <c r="AA28" s="233"/>
      <c r="AB28" s="233"/>
      <c r="AC28" s="233"/>
      <c r="AD28" s="234"/>
      <c r="AE28" s="233"/>
      <c r="AF28" s="233"/>
      <c r="AG28" s="233"/>
      <c r="AH28" s="234"/>
      <c r="AI28" s="233"/>
      <c r="AJ28" s="233"/>
      <c r="AK28" s="233"/>
      <c r="AL28" s="234"/>
      <c r="AM28" s="233"/>
    </row>
    <row r="29" spans="1:39" s="209" customFormat="1" ht="13.5" customHeight="1">
      <c r="A29" s="235" t="s">
        <v>161</v>
      </c>
      <c r="B29" s="233"/>
      <c r="C29" s="233">
        <v>-2784</v>
      </c>
      <c r="D29" s="234">
        <v>-4832</v>
      </c>
      <c r="E29" s="233">
        <v>-10875</v>
      </c>
      <c r="F29" s="233">
        <v>-19813</v>
      </c>
      <c r="G29" s="233">
        <v>-6374</v>
      </c>
      <c r="H29" s="234">
        <v>-19319</v>
      </c>
      <c r="I29" s="233">
        <v>-8742</v>
      </c>
      <c r="J29" s="233">
        <v>624</v>
      </c>
      <c r="K29" s="233">
        <v>3501</v>
      </c>
      <c r="L29" s="233"/>
      <c r="M29" s="233">
        <v>-2784</v>
      </c>
      <c r="N29" s="234">
        <v>-4832</v>
      </c>
      <c r="O29" s="233">
        <v>-10875</v>
      </c>
      <c r="P29" s="233">
        <v>-19813</v>
      </c>
      <c r="Q29" s="233">
        <v>-6374</v>
      </c>
      <c r="R29" s="234">
        <v>-19319</v>
      </c>
      <c r="S29" s="233">
        <v>-8742</v>
      </c>
      <c r="T29" s="233">
        <v>624</v>
      </c>
      <c r="U29" s="233">
        <v>3501</v>
      </c>
      <c r="V29" s="234">
        <v>4410</v>
      </c>
      <c r="W29" s="233">
        <v>13476</v>
      </c>
      <c r="X29" s="233">
        <v>38260</v>
      </c>
      <c r="Y29" s="233">
        <v>44197</v>
      </c>
      <c r="Z29" s="234">
        <v>54538</v>
      </c>
      <c r="AA29" s="233">
        <v>-11248</v>
      </c>
      <c r="AB29" s="233">
        <v>2004</v>
      </c>
      <c r="AC29" s="233">
        <v>14440</v>
      </c>
      <c r="AD29" s="234">
        <v>17438</v>
      </c>
      <c r="AE29" s="233">
        <v>-6146</v>
      </c>
      <c r="AF29" s="233">
        <v>80674</v>
      </c>
      <c r="AG29" s="233">
        <v>83282</v>
      </c>
      <c r="AH29" s="234">
        <v>77650</v>
      </c>
      <c r="AI29" s="233">
        <v>950</v>
      </c>
      <c r="AJ29" s="233">
        <v>-7703</v>
      </c>
      <c r="AK29" s="233">
        <v>2954</v>
      </c>
      <c r="AL29" s="234">
        <v>22729</v>
      </c>
      <c r="AM29" s="233">
        <v>-2624</v>
      </c>
    </row>
    <row r="30" spans="1:39" s="209" customFormat="1">
      <c r="A30" s="235" t="s">
        <v>162</v>
      </c>
      <c r="B30" s="233"/>
      <c r="C30" s="233">
        <v>189</v>
      </c>
      <c r="D30" s="234">
        <v>2628</v>
      </c>
      <c r="E30" s="233">
        <v>-5567</v>
      </c>
      <c r="F30" s="233">
        <v>-1603</v>
      </c>
      <c r="G30" s="233">
        <v>-5770</v>
      </c>
      <c r="H30" s="234">
        <v>-2820</v>
      </c>
      <c r="I30" s="233">
        <v>-632</v>
      </c>
      <c r="J30" s="233">
        <v>1260</v>
      </c>
      <c r="K30" s="233">
        <v>2377</v>
      </c>
      <c r="L30" s="233"/>
      <c r="M30" s="233">
        <v>189</v>
      </c>
      <c r="N30" s="234">
        <v>1029</v>
      </c>
      <c r="O30" s="233">
        <v>-5567</v>
      </c>
      <c r="P30" s="233">
        <v>-1603</v>
      </c>
      <c r="Q30" s="233">
        <v>-5770</v>
      </c>
      <c r="R30" s="234">
        <v>-2820</v>
      </c>
      <c r="S30" s="233">
        <v>-632</v>
      </c>
      <c r="T30" s="233">
        <v>1260</v>
      </c>
      <c r="U30" s="233">
        <v>2377</v>
      </c>
      <c r="V30" s="234">
        <v>-4825</v>
      </c>
      <c r="W30" s="233">
        <v>-5678</v>
      </c>
      <c r="X30" s="233">
        <v>-9157</v>
      </c>
      <c r="Y30" s="233">
        <v>-8012</v>
      </c>
      <c r="Z30" s="234">
        <v>-1379</v>
      </c>
      <c r="AA30" s="233">
        <v>-5895</v>
      </c>
      <c r="AB30" s="233">
        <v>-3447</v>
      </c>
      <c r="AC30" s="233">
        <v>-4329</v>
      </c>
      <c r="AD30" s="234">
        <v>-1597</v>
      </c>
      <c r="AE30" s="233">
        <v>-8858</v>
      </c>
      <c r="AF30" s="233">
        <v>-10870</v>
      </c>
      <c r="AG30" s="233">
        <v>-6910</v>
      </c>
      <c r="AH30" s="234">
        <v>-7813</v>
      </c>
      <c r="AI30" s="233">
        <v>-1494</v>
      </c>
      <c r="AJ30" s="233">
        <v>6495</v>
      </c>
      <c r="AK30" s="233">
        <v>8732</v>
      </c>
      <c r="AL30" s="234">
        <v>5523</v>
      </c>
      <c r="AM30" s="233">
        <v>-2818</v>
      </c>
    </row>
    <row r="31" spans="1:39" s="209" customFormat="1" ht="13.5" customHeight="1">
      <c r="A31" s="235" t="s">
        <v>163</v>
      </c>
      <c r="B31" s="233"/>
      <c r="C31" s="233">
        <v>48745</v>
      </c>
      <c r="D31" s="234">
        <v>69551</v>
      </c>
      <c r="E31" s="233">
        <v>-18864</v>
      </c>
      <c r="F31" s="233">
        <v>40677</v>
      </c>
      <c r="G31" s="233">
        <v>-23457</v>
      </c>
      <c r="H31" s="234">
        <v>5157</v>
      </c>
      <c r="I31" s="233">
        <v>-33574</v>
      </c>
      <c r="J31" s="233">
        <v>-14991</v>
      </c>
      <c r="K31" s="233">
        <v>-43861</v>
      </c>
      <c r="L31" s="233"/>
      <c r="M31" s="233">
        <v>49293</v>
      </c>
      <c r="N31" s="234">
        <v>77171</v>
      </c>
      <c r="O31" s="233">
        <v>-18205</v>
      </c>
      <c r="P31" s="233">
        <v>42038</v>
      </c>
      <c r="Q31" s="233">
        <v>-21348</v>
      </c>
      <c r="R31" s="234">
        <v>8815</v>
      </c>
      <c r="S31" s="233">
        <v>-33033</v>
      </c>
      <c r="T31" s="233">
        <v>-12595</v>
      </c>
      <c r="U31" s="233">
        <v>-41146</v>
      </c>
      <c r="V31" s="234">
        <v>-19588</v>
      </c>
      <c r="W31" s="233">
        <v>-21420</v>
      </c>
      <c r="X31" s="233">
        <v>-8812</v>
      </c>
      <c r="Y31" s="233">
        <v>-48257</v>
      </c>
      <c r="Z31" s="234">
        <v>12015</v>
      </c>
      <c r="AA31" s="233">
        <v>-30787</v>
      </c>
      <c r="AB31" s="233">
        <v>-34785</v>
      </c>
      <c r="AC31" s="233">
        <v>-57433</v>
      </c>
      <c r="AD31" s="234">
        <v>-61068</v>
      </c>
      <c r="AE31" s="233">
        <v>5345</v>
      </c>
      <c r="AF31" s="233">
        <v>45148</v>
      </c>
      <c r="AG31" s="233">
        <v>-37004</v>
      </c>
      <c r="AH31" s="234">
        <v>-520</v>
      </c>
      <c r="AI31" s="233">
        <v>-24232</v>
      </c>
      <c r="AJ31" s="233">
        <v>-639</v>
      </c>
      <c r="AK31" s="233">
        <v>23667</v>
      </c>
      <c r="AL31" s="234">
        <v>63711</v>
      </c>
      <c r="AM31" s="233">
        <v>-6420</v>
      </c>
    </row>
    <row r="32" spans="1:39" s="209" customFormat="1">
      <c r="A32" s="235" t="s">
        <v>164</v>
      </c>
      <c r="B32" s="233"/>
      <c r="C32" s="233">
        <v>4936</v>
      </c>
      <c r="D32" s="234">
        <v>4907</v>
      </c>
      <c r="E32" s="233">
        <v>-273</v>
      </c>
      <c r="F32" s="233">
        <v>-2458</v>
      </c>
      <c r="G32" s="233">
        <v>-3689</v>
      </c>
      <c r="H32" s="234">
        <v>-6710</v>
      </c>
      <c r="I32" s="233">
        <v>-1551</v>
      </c>
      <c r="J32" s="233">
        <v>-7703</v>
      </c>
      <c r="K32" s="233">
        <v>-7502</v>
      </c>
      <c r="L32" s="233"/>
      <c r="M32" s="233">
        <v>4936</v>
      </c>
      <c r="N32" s="234">
        <v>4907</v>
      </c>
      <c r="O32" s="233">
        <v>-273</v>
      </c>
      <c r="P32" s="233">
        <v>2578</v>
      </c>
      <c r="Q32" s="233">
        <v>1347</v>
      </c>
      <c r="R32" s="234">
        <v>918</v>
      </c>
      <c r="S32" s="233">
        <v>-1551</v>
      </c>
      <c r="T32" s="233">
        <v>-3899</v>
      </c>
      <c r="U32" s="233">
        <v>-5198</v>
      </c>
      <c r="V32" s="234">
        <v>-14339</v>
      </c>
      <c r="W32" s="233">
        <v>-568</v>
      </c>
      <c r="X32" s="233">
        <v>-642</v>
      </c>
      <c r="Y32" s="233">
        <v>-362</v>
      </c>
      <c r="Z32" s="234">
        <v>-353</v>
      </c>
      <c r="AA32" s="233">
        <v>37</v>
      </c>
      <c r="AB32" s="233">
        <v>391</v>
      </c>
      <c r="AC32" s="233">
        <v>604</v>
      </c>
      <c r="AD32" s="234">
        <v>1382</v>
      </c>
      <c r="AE32" s="233">
        <v>-12</v>
      </c>
      <c r="AF32" s="233">
        <v>-23</v>
      </c>
      <c r="AG32" s="233">
        <v>426</v>
      </c>
      <c r="AH32" s="234">
        <v>945</v>
      </c>
      <c r="AI32" s="233">
        <v>94</v>
      </c>
      <c r="AJ32" s="233">
        <v>-403</v>
      </c>
      <c r="AK32" s="233">
        <v>668</v>
      </c>
      <c r="AL32" s="234">
        <v>-71</v>
      </c>
      <c r="AM32" s="233">
        <v>346</v>
      </c>
    </row>
    <row r="33" spans="1:39" s="209" customFormat="1">
      <c r="A33" s="236" t="s">
        <v>165</v>
      </c>
      <c r="B33" s="233"/>
      <c r="C33" s="233">
        <v>0</v>
      </c>
      <c r="D33" s="234">
        <v>0</v>
      </c>
      <c r="E33" s="233">
        <v>0</v>
      </c>
      <c r="F33" s="233"/>
      <c r="G33" s="233"/>
      <c r="H33" s="234"/>
      <c r="I33" s="233">
        <v>0</v>
      </c>
      <c r="J33" s="233">
        <v>0</v>
      </c>
      <c r="K33" s="233">
        <v>0</v>
      </c>
      <c r="L33" s="233"/>
      <c r="M33" s="233">
        <v>-8574</v>
      </c>
      <c r="N33" s="234">
        <v>-10992</v>
      </c>
      <c r="O33" s="233">
        <v>-492</v>
      </c>
      <c r="P33" s="233">
        <v>-1377</v>
      </c>
      <c r="Q33" s="233">
        <v>-2360</v>
      </c>
      <c r="R33" s="234">
        <v>-4009</v>
      </c>
      <c r="S33" s="233">
        <v>-2434</v>
      </c>
      <c r="T33" s="233">
        <v>-2860</v>
      </c>
      <c r="U33" s="233">
        <v>-3130</v>
      </c>
      <c r="V33" s="234">
        <v>-1285</v>
      </c>
      <c r="W33" s="233">
        <v>-88</v>
      </c>
      <c r="X33" s="233">
        <v>-297</v>
      </c>
      <c r="Y33" s="233">
        <v>-289</v>
      </c>
      <c r="Z33" s="234">
        <v>-519</v>
      </c>
      <c r="AA33" s="233">
        <v>-156</v>
      </c>
      <c r="AB33" s="233">
        <v>-304</v>
      </c>
      <c r="AC33" s="233">
        <v>-405</v>
      </c>
      <c r="AD33" s="234">
        <v>-546</v>
      </c>
      <c r="AE33" s="233">
        <v>-140</v>
      </c>
      <c r="AF33" s="233">
        <v>-199</v>
      </c>
      <c r="AG33" s="233">
        <v>-330</v>
      </c>
      <c r="AH33" s="234">
        <v>-423</v>
      </c>
      <c r="AI33" s="233">
        <v>-116</v>
      </c>
      <c r="AJ33" s="233">
        <v>-298</v>
      </c>
      <c r="AK33" s="233">
        <v>-443</v>
      </c>
      <c r="AL33" s="234">
        <v>-539</v>
      </c>
      <c r="AM33" s="233">
        <v>-482</v>
      </c>
    </row>
    <row r="34" spans="1:39" s="165" customFormat="1">
      <c r="A34" s="161" t="s">
        <v>166</v>
      </c>
      <c r="B34" s="162"/>
      <c r="C34" s="163">
        <f>SUM(C10:C33)</f>
        <v>-11801</v>
      </c>
      <c r="D34" s="164">
        <f>SUM(D10:D33)</f>
        <v>23455</v>
      </c>
      <c r="E34" s="163">
        <f>SUM(E10:E33)</f>
        <v>-20082</v>
      </c>
      <c r="F34" s="163">
        <v>48251</v>
      </c>
      <c r="G34" s="163">
        <v>-2280</v>
      </c>
      <c r="H34" s="164">
        <v>30457</v>
      </c>
      <c r="I34" s="163">
        <f>SUM(I10:I33)</f>
        <v>-37139</v>
      </c>
      <c r="J34" s="163">
        <f>SUM(J10:J33)</f>
        <v>-4776</v>
      </c>
      <c r="K34" s="163">
        <f>SUM(K10:K33)</f>
        <v>-33639</v>
      </c>
      <c r="L34" s="162"/>
      <c r="M34" s="163">
        <f t="shared" ref="M34:W34" si="0">SUM(M10:M33)</f>
        <v>18782</v>
      </c>
      <c r="N34" s="164">
        <f t="shared" si="0"/>
        <v>51777</v>
      </c>
      <c r="O34" s="163">
        <f t="shared" si="0"/>
        <v>-21653</v>
      </c>
      <c r="P34" s="163">
        <f t="shared" si="0"/>
        <v>44612</v>
      </c>
      <c r="Q34" s="163">
        <f t="shared" si="0"/>
        <v>-7391</v>
      </c>
      <c r="R34" s="164">
        <f t="shared" si="0"/>
        <v>23600</v>
      </c>
      <c r="S34" s="163">
        <f t="shared" si="0"/>
        <v>-42648</v>
      </c>
      <c r="T34" s="163">
        <f t="shared" si="0"/>
        <v>-14838</v>
      </c>
      <c r="U34" s="163">
        <f t="shared" si="0"/>
        <v>-47357</v>
      </c>
      <c r="V34" s="164">
        <f t="shared" si="0"/>
        <v>-63851</v>
      </c>
      <c r="W34" s="163">
        <f t="shared" si="0"/>
        <v>-35373</v>
      </c>
      <c r="X34" s="163">
        <v>-23116</v>
      </c>
      <c r="Y34" s="163">
        <v>-66160</v>
      </c>
      <c r="Z34" s="164">
        <f t="shared" ref="Z34:AK34" si="1">SUM(Z10:Z33)</f>
        <v>-29781</v>
      </c>
      <c r="AA34" s="163">
        <f t="shared" si="1"/>
        <v>-63925</v>
      </c>
      <c r="AB34" s="163">
        <f t="shared" si="1"/>
        <v>-45990</v>
      </c>
      <c r="AC34" s="163">
        <f t="shared" si="1"/>
        <v>-73588</v>
      </c>
      <c r="AD34" s="164">
        <f t="shared" si="1"/>
        <v>-111534</v>
      </c>
      <c r="AE34" s="163">
        <f t="shared" si="1"/>
        <v>-44045</v>
      </c>
      <c r="AF34" s="163">
        <f t="shared" si="1"/>
        <v>26140</v>
      </c>
      <c r="AG34" s="163">
        <f t="shared" si="1"/>
        <v>-86951</v>
      </c>
      <c r="AH34" s="164">
        <f t="shared" si="1"/>
        <v>-87162</v>
      </c>
      <c r="AI34" s="163">
        <f t="shared" si="1"/>
        <v>-55269</v>
      </c>
      <c r="AJ34" s="163">
        <f t="shared" si="1"/>
        <v>-49675</v>
      </c>
      <c r="AK34" s="163">
        <f t="shared" si="1"/>
        <v>-29220</v>
      </c>
      <c r="AL34" s="164">
        <f t="shared" ref="AL34:AM34" si="2">SUM(AL10:AL33)</f>
        <v>3556</v>
      </c>
      <c r="AM34" s="163">
        <f t="shared" si="2"/>
        <v>-29080</v>
      </c>
    </row>
    <row r="35" spans="1:39" s="209" customFormat="1">
      <c r="A35" s="235"/>
      <c r="B35" s="233"/>
      <c r="C35" s="233"/>
      <c r="D35" s="234"/>
      <c r="E35" s="233"/>
      <c r="F35" s="233"/>
      <c r="G35" s="233"/>
      <c r="H35" s="234"/>
      <c r="I35" s="233"/>
      <c r="J35" s="233"/>
      <c r="K35" s="233"/>
      <c r="L35" s="233"/>
      <c r="M35" s="233"/>
      <c r="N35" s="234"/>
      <c r="O35" s="233" t="s">
        <v>159</v>
      </c>
      <c r="P35" s="233" t="s">
        <v>159</v>
      </c>
      <c r="Q35" s="233" t="s">
        <v>159</v>
      </c>
      <c r="R35" s="234"/>
      <c r="S35" s="233" t="s">
        <v>159</v>
      </c>
      <c r="T35" s="233" t="s">
        <v>159</v>
      </c>
      <c r="U35" s="233" t="s">
        <v>159</v>
      </c>
      <c r="V35" s="234"/>
      <c r="W35" s="233" t="s">
        <v>159</v>
      </c>
      <c r="X35" s="233"/>
      <c r="Y35" s="233"/>
      <c r="Z35" s="234"/>
      <c r="AA35" s="233"/>
      <c r="AB35" s="233"/>
      <c r="AC35" s="233"/>
      <c r="AD35" s="234"/>
      <c r="AE35" s="233"/>
      <c r="AF35" s="233"/>
      <c r="AG35" s="233"/>
      <c r="AH35" s="234"/>
      <c r="AI35" s="233"/>
      <c r="AJ35" s="233"/>
      <c r="AK35" s="233"/>
      <c r="AL35" s="234"/>
      <c r="AM35" s="233"/>
    </row>
    <row r="36" spans="1:39" s="209" customFormat="1">
      <c r="A36" s="161" t="s">
        <v>167</v>
      </c>
      <c r="B36" s="233"/>
      <c r="C36" s="233"/>
      <c r="D36" s="234"/>
      <c r="E36" s="233"/>
      <c r="F36" s="233"/>
      <c r="G36" s="233"/>
      <c r="H36" s="234"/>
      <c r="I36" s="233"/>
      <c r="J36" s="233"/>
      <c r="K36" s="233"/>
      <c r="L36" s="233"/>
      <c r="M36" s="233"/>
      <c r="N36" s="234"/>
      <c r="O36" s="233"/>
      <c r="P36" s="233"/>
      <c r="Q36" s="233"/>
      <c r="R36" s="234" t="s">
        <v>159</v>
      </c>
      <c r="S36" s="233"/>
      <c r="T36" s="233"/>
      <c r="U36" s="233"/>
      <c r="V36" s="234" t="s">
        <v>159</v>
      </c>
      <c r="W36" s="233"/>
      <c r="X36" s="233"/>
      <c r="Y36" s="233"/>
      <c r="Z36" s="234" t="s">
        <v>159</v>
      </c>
      <c r="AA36" s="233"/>
      <c r="AB36" s="233"/>
      <c r="AC36" s="233"/>
      <c r="AD36" s="234"/>
      <c r="AE36" s="233"/>
      <c r="AF36" s="233"/>
      <c r="AG36" s="233"/>
      <c r="AH36" s="234"/>
      <c r="AI36" s="233"/>
      <c r="AJ36" s="233"/>
      <c r="AK36" s="233"/>
      <c r="AL36" s="234"/>
      <c r="AM36" s="233"/>
    </row>
    <row r="37" spans="1:39" s="209" customFormat="1">
      <c r="A37" s="235" t="s">
        <v>168</v>
      </c>
      <c r="B37" s="233"/>
      <c r="C37" s="233">
        <v>-7001</v>
      </c>
      <c r="D37" s="234">
        <v>-14440</v>
      </c>
      <c r="E37" s="233">
        <v>-5957</v>
      </c>
      <c r="F37" s="233">
        <v>-10244</v>
      </c>
      <c r="G37" s="233">
        <v>-14077</v>
      </c>
      <c r="H37" s="234">
        <v>-20072</v>
      </c>
      <c r="I37" s="233">
        <v>-5572</v>
      </c>
      <c r="J37" s="233">
        <v>-9072</v>
      </c>
      <c r="K37" s="233">
        <v>-10797</v>
      </c>
      <c r="L37" s="233"/>
      <c r="M37" s="233">
        <v>-7001</v>
      </c>
      <c r="N37" s="234">
        <v>-14440</v>
      </c>
      <c r="O37" s="233">
        <v>-5957</v>
      </c>
      <c r="P37" s="233">
        <v>-10244</v>
      </c>
      <c r="Q37" s="233">
        <v>-14077</v>
      </c>
      <c r="R37" s="234">
        <v>-20072</v>
      </c>
      <c r="S37" s="233">
        <v>-5572</v>
      </c>
      <c r="T37" s="233">
        <v>-9072</v>
      </c>
      <c r="U37" s="233">
        <v>-10797</v>
      </c>
      <c r="V37" s="234">
        <v>-14360</v>
      </c>
      <c r="W37" s="233">
        <v>-3591</v>
      </c>
      <c r="X37" s="233">
        <v>-5766</v>
      </c>
      <c r="Y37" s="233">
        <v>-6893</v>
      </c>
      <c r="Z37" s="234">
        <v>-11663</v>
      </c>
      <c r="AA37" s="233">
        <v>-1609</v>
      </c>
      <c r="AB37" s="233">
        <v>-3498</v>
      </c>
      <c r="AC37" s="233">
        <v>-6950</v>
      </c>
      <c r="AD37" s="234">
        <v>-14574</v>
      </c>
      <c r="AE37" s="233">
        <v>-7728</v>
      </c>
      <c r="AF37" s="233">
        <v>-10689</v>
      </c>
      <c r="AG37" s="233">
        <v>-14208</v>
      </c>
      <c r="AH37" s="234">
        <v>-18299</v>
      </c>
      <c r="AI37" s="233">
        <v>-1888</v>
      </c>
      <c r="AJ37" s="233">
        <v>-3357</v>
      </c>
      <c r="AK37" s="233">
        <v>-5585</v>
      </c>
      <c r="AL37" s="234">
        <v>-8075</v>
      </c>
      <c r="AM37" s="233">
        <v>-2378</v>
      </c>
    </row>
    <row r="38" spans="1:39" s="209" customFormat="1">
      <c r="A38" s="235" t="s">
        <v>169</v>
      </c>
      <c r="B38" s="180"/>
      <c r="C38" s="233"/>
      <c r="D38" s="234"/>
      <c r="E38" s="233"/>
      <c r="F38" s="233"/>
      <c r="G38" s="233"/>
      <c r="H38" s="234"/>
      <c r="I38" s="233"/>
      <c r="J38" s="233"/>
      <c r="K38" s="233"/>
      <c r="L38" s="180"/>
      <c r="M38" s="233"/>
      <c r="N38" s="234"/>
      <c r="O38" s="233"/>
      <c r="P38" s="233"/>
      <c r="Q38" s="233"/>
      <c r="R38" s="234"/>
      <c r="S38" s="233"/>
      <c r="T38" s="233"/>
      <c r="U38" s="233"/>
      <c r="V38" s="234"/>
      <c r="W38" s="233"/>
      <c r="X38" s="233"/>
      <c r="Y38" s="233"/>
      <c r="Z38" s="234"/>
      <c r="AA38" s="233"/>
      <c r="AB38" s="233"/>
      <c r="AC38" s="233"/>
      <c r="AD38" s="234"/>
      <c r="AE38" s="233">
        <v>-25</v>
      </c>
      <c r="AF38" s="233">
        <v>-15</v>
      </c>
      <c r="AG38" s="233">
        <v>-15</v>
      </c>
      <c r="AH38" s="234">
        <v>-15</v>
      </c>
      <c r="AI38" s="233">
        <v>0</v>
      </c>
      <c r="AJ38" s="233" t="s">
        <v>362</v>
      </c>
      <c r="AK38" s="233">
        <v>0</v>
      </c>
      <c r="AL38" s="234">
        <v>0</v>
      </c>
      <c r="AM38" s="233">
        <v>0</v>
      </c>
    </row>
    <row r="39" spans="1:39" s="209" customFormat="1">
      <c r="A39" s="235" t="s">
        <v>170</v>
      </c>
      <c r="B39" s="233"/>
      <c r="C39" s="233">
        <v>-6348</v>
      </c>
      <c r="D39" s="234">
        <v>-7843</v>
      </c>
      <c r="E39" s="233">
        <v>-1092</v>
      </c>
      <c r="F39" s="233">
        <v>-2115</v>
      </c>
      <c r="G39" s="233">
        <v>-3080</v>
      </c>
      <c r="H39" s="234">
        <v>-7438</v>
      </c>
      <c r="I39" s="233">
        <v>-1879</v>
      </c>
      <c r="J39" s="233">
        <v>-4007</v>
      </c>
      <c r="K39" s="233">
        <v>-5074</v>
      </c>
      <c r="L39" s="233"/>
      <c r="M39" s="233">
        <v>-6348</v>
      </c>
      <c r="N39" s="234">
        <v>-7843</v>
      </c>
      <c r="O39" s="233">
        <v>-1092</v>
      </c>
      <c r="P39" s="233">
        <v>-2115</v>
      </c>
      <c r="Q39" s="233">
        <v>-3080</v>
      </c>
      <c r="R39" s="234">
        <v>-7438</v>
      </c>
      <c r="S39" s="233">
        <v>-1879</v>
      </c>
      <c r="T39" s="233">
        <v>-4007</v>
      </c>
      <c r="U39" s="233">
        <v>-5074</v>
      </c>
      <c r="V39" s="234">
        <v>-6182</v>
      </c>
      <c r="W39" s="233">
        <v>-1153</v>
      </c>
      <c r="X39" s="233">
        <v>-2216</v>
      </c>
      <c r="Y39" s="233">
        <v>-2988</v>
      </c>
      <c r="Z39" s="234">
        <v>-3825</v>
      </c>
      <c r="AA39" s="233">
        <v>-672</v>
      </c>
      <c r="AB39" s="233">
        <v>-820</v>
      </c>
      <c r="AC39" s="233">
        <v>-951</v>
      </c>
      <c r="AD39" s="234">
        <v>-1954</v>
      </c>
      <c r="AE39" s="233">
        <v>-829</v>
      </c>
      <c r="AF39" s="233">
        <v>-1736</v>
      </c>
      <c r="AG39" s="233">
        <v>-2710</v>
      </c>
      <c r="AH39" s="234">
        <v>-3650</v>
      </c>
      <c r="AI39" s="233">
        <v>-1014</v>
      </c>
      <c r="AJ39" s="233">
        <v>-1976</v>
      </c>
      <c r="AK39" s="233">
        <v>-2967</v>
      </c>
      <c r="AL39" s="234">
        <v>-3818</v>
      </c>
      <c r="AM39" s="233">
        <v>-855</v>
      </c>
    </row>
    <row r="40" spans="1:39" s="209" customFormat="1">
      <c r="A40" s="235" t="s">
        <v>171</v>
      </c>
      <c r="B40" s="180"/>
      <c r="C40" s="233">
        <v>-8574</v>
      </c>
      <c r="D40" s="234">
        <v>-10992</v>
      </c>
      <c r="E40" s="233">
        <v>-1596</v>
      </c>
      <c r="F40" s="233">
        <v>-3695</v>
      </c>
      <c r="G40" s="233">
        <v>-5427</v>
      </c>
      <c r="H40" s="234">
        <v>-7552</v>
      </c>
      <c r="I40" s="233">
        <v>-5561</v>
      </c>
      <c r="J40" s="233">
        <v>-10440</v>
      </c>
      <c r="K40" s="233">
        <v>-14304</v>
      </c>
      <c r="L40" s="180"/>
      <c r="M40" s="233">
        <v>0</v>
      </c>
      <c r="N40" s="234">
        <v>0</v>
      </c>
      <c r="O40" s="233">
        <v>0</v>
      </c>
      <c r="P40" s="233">
        <v>0</v>
      </c>
      <c r="Q40" s="233">
        <v>0</v>
      </c>
      <c r="R40" s="234">
        <v>0</v>
      </c>
      <c r="S40" s="233">
        <v>0</v>
      </c>
      <c r="T40" s="233">
        <v>0</v>
      </c>
      <c r="U40" s="233">
        <v>0</v>
      </c>
      <c r="V40" s="234">
        <v>0</v>
      </c>
      <c r="W40" s="233">
        <v>0</v>
      </c>
      <c r="X40" s="233">
        <v>0</v>
      </c>
      <c r="Y40" s="233">
        <v>0</v>
      </c>
      <c r="Z40" s="234">
        <v>0</v>
      </c>
      <c r="AA40" s="233">
        <v>0</v>
      </c>
      <c r="AB40" s="233">
        <v>0</v>
      </c>
      <c r="AC40" s="233">
        <v>0</v>
      </c>
      <c r="AD40" s="234">
        <v>0</v>
      </c>
      <c r="AE40" s="233">
        <v>0</v>
      </c>
      <c r="AF40" s="233">
        <v>0</v>
      </c>
      <c r="AG40" s="233">
        <v>0</v>
      </c>
      <c r="AH40" s="234">
        <v>0</v>
      </c>
      <c r="AI40" s="233">
        <v>0</v>
      </c>
      <c r="AJ40" s="233">
        <v>0</v>
      </c>
      <c r="AK40" s="233">
        <v>0</v>
      </c>
      <c r="AL40" s="234">
        <v>0</v>
      </c>
      <c r="AM40" s="233">
        <v>0</v>
      </c>
    </row>
    <row r="41" spans="1:39" s="209" customFormat="1">
      <c r="A41" s="235" t="s">
        <v>172</v>
      </c>
      <c r="B41" s="233"/>
      <c r="C41" s="233">
        <v>4593</v>
      </c>
      <c r="D41" s="234">
        <v>4607</v>
      </c>
      <c r="E41" s="233">
        <v>2</v>
      </c>
      <c r="F41" s="233">
        <v>1014</v>
      </c>
      <c r="G41" s="233">
        <v>1095</v>
      </c>
      <c r="H41" s="234">
        <v>3568</v>
      </c>
      <c r="I41" s="233">
        <v>7</v>
      </c>
      <c r="J41" s="233">
        <v>20</v>
      </c>
      <c r="K41" s="233">
        <v>360</v>
      </c>
      <c r="L41" s="233"/>
      <c r="M41" s="233">
        <v>4593</v>
      </c>
      <c r="N41" s="234">
        <v>4607</v>
      </c>
      <c r="O41" s="233">
        <v>2</v>
      </c>
      <c r="P41" s="233">
        <v>1014</v>
      </c>
      <c r="Q41" s="233">
        <v>1095</v>
      </c>
      <c r="R41" s="234">
        <v>3568</v>
      </c>
      <c r="S41" s="233">
        <v>7</v>
      </c>
      <c r="T41" s="233">
        <v>20</v>
      </c>
      <c r="U41" s="233">
        <v>360</v>
      </c>
      <c r="V41" s="234">
        <v>360</v>
      </c>
      <c r="W41" s="233">
        <v>38222</v>
      </c>
      <c r="X41" s="233">
        <v>38222</v>
      </c>
      <c r="Y41" s="233">
        <v>50126</v>
      </c>
      <c r="Z41" s="234">
        <v>50126</v>
      </c>
      <c r="AA41" s="233">
        <v>0</v>
      </c>
      <c r="AB41" s="233">
        <v>4252</v>
      </c>
      <c r="AC41" s="233">
        <v>4252</v>
      </c>
      <c r="AD41" s="234">
        <v>7267</v>
      </c>
      <c r="AE41" s="233">
        <v>175</v>
      </c>
      <c r="AF41" s="233">
        <v>194</v>
      </c>
      <c r="AG41" s="233">
        <v>194</v>
      </c>
      <c r="AH41" s="234">
        <v>194</v>
      </c>
      <c r="AI41" s="233">
        <v>0</v>
      </c>
      <c r="AJ41" s="233">
        <v>29811</v>
      </c>
      <c r="AK41" s="233">
        <v>29811</v>
      </c>
      <c r="AL41" s="234">
        <v>29811</v>
      </c>
      <c r="AM41" s="233">
        <v>2649</v>
      </c>
    </row>
    <row r="42" spans="1:39" s="209" customFormat="1">
      <c r="A42" s="235" t="s">
        <v>173</v>
      </c>
      <c r="B42" s="233"/>
      <c r="C42" s="233"/>
      <c r="D42" s="234">
        <v>0</v>
      </c>
      <c r="E42" s="233"/>
      <c r="F42" s="233"/>
      <c r="G42" s="233"/>
      <c r="H42" s="234">
        <v>0</v>
      </c>
      <c r="I42" s="233"/>
      <c r="J42" s="233"/>
      <c r="K42" s="233"/>
      <c r="L42" s="233"/>
      <c r="M42" s="233"/>
      <c r="N42" s="234">
        <v>0</v>
      </c>
      <c r="O42" s="233"/>
      <c r="P42" s="233"/>
      <c r="Q42" s="233"/>
      <c r="R42" s="234">
        <v>0</v>
      </c>
      <c r="S42" s="233">
        <v>0</v>
      </c>
      <c r="T42" s="233">
        <v>0</v>
      </c>
      <c r="U42" s="233">
        <v>0</v>
      </c>
      <c r="V42" s="234">
        <v>0</v>
      </c>
      <c r="W42" s="233">
        <v>0</v>
      </c>
      <c r="X42" s="233">
        <v>0</v>
      </c>
      <c r="Y42" s="233">
        <v>0</v>
      </c>
      <c r="Z42" s="234">
        <v>-700</v>
      </c>
      <c r="AA42" s="233">
        <v>0</v>
      </c>
      <c r="AB42" s="233">
        <v>0</v>
      </c>
      <c r="AC42" s="233">
        <v>0</v>
      </c>
      <c r="AD42" s="234">
        <v>0</v>
      </c>
      <c r="AE42" s="233">
        <v>0</v>
      </c>
      <c r="AF42" s="233">
        <v>0</v>
      </c>
      <c r="AG42" s="233">
        <v>0</v>
      </c>
      <c r="AH42" s="234">
        <v>0</v>
      </c>
      <c r="AI42" s="233">
        <v>0</v>
      </c>
      <c r="AJ42" s="233">
        <v>0</v>
      </c>
      <c r="AK42" s="233">
        <v>0</v>
      </c>
      <c r="AL42" s="234">
        <v>0</v>
      </c>
      <c r="AM42" s="233">
        <v>0</v>
      </c>
    </row>
    <row r="43" spans="1:39" s="209" customFormat="1">
      <c r="A43" s="235" t="s">
        <v>174</v>
      </c>
      <c r="B43" s="233"/>
      <c r="C43" s="233">
        <v>91</v>
      </c>
      <c r="D43" s="234">
        <v>91</v>
      </c>
      <c r="E43" s="233">
        <v>0</v>
      </c>
      <c r="F43" s="233">
        <v>0</v>
      </c>
      <c r="G43" s="233">
        <v>0</v>
      </c>
      <c r="H43" s="234">
        <v>0</v>
      </c>
      <c r="I43" s="233">
        <v>0</v>
      </c>
      <c r="J43" s="233">
        <v>0</v>
      </c>
      <c r="K43" s="233">
        <v>0</v>
      </c>
      <c r="L43" s="233"/>
      <c r="M43" s="233">
        <v>91</v>
      </c>
      <c r="N43" s="234">
        <v>91</v>
      </c>
      <c r="O43" s="233">
        <v>0</v>
      </c>
      <c r="P43" s="233">
        <v>0</v>
      </c>
      <c r="Q43" s="233">
        <v>0</v>
      </c>
      <c r="R43" s="234">
        <v>0</v>
      </c>
      <c r="S43" s="233">
        <v>0</v>
      </c>
      <c r="T43" s="233">
        <v>0</v>
      </c>
      <c r="U43" s="233">
        <v>0</v>
      </c>
      <c r="V43" s="234">
        <v>0</v>
      </c>
      <c r="W43" s="233">
        <v>0</v>
      </c>
      <c r="X43" s="233">
        <v>0</v>
      </c>
      <c r="Y43" s="233">
        <v>0</v>
      </c>
      <c r="Z43" s="234">
        <v>0</v>
      </c>
      <c r="AA43" s="233">
        <v>0</v>
      </c>
      <c r="AB43" s="233">
        <v>0</v>
      </c>
      <c r="AC43" s="233">
        <v>0</v>
      </c>
      <c r="AD43" s="234">
        <v>0</v>
      </c>
      <c r="AE43" s="233">
        <v>0</v>
      </c>
      <c r="AF43" s="233">
        <v>0</v>
      </c>
      <c r="AG43" s="233">
        <v>0</v>
      </c>
      <c r="AH43" s="234">
        <v>0</v>
      </c>
      <c r="AI43" s="233">
        <v>0</v>
      </c>
      <c r="AJ43" s="233">
        <v>0</v>
      </c>
      <c r="AK43" s="233">
        <v>0</v>
      </c>
      <c r="AL43" s="234">
        <v>0</v>
      </c>
      <c r="AM43" s="233">
        <v>0</v>
      </c>
    </row>
    <row r="44" spans="1:39" s="209" customFormat="1">
      <c r="A44" s="235" t="s">
        <v>175</v>
      </c>
      <c r="B44" s="233"/>
      <c r="C44" s="233">
        <v>-423428</v>
      </c>
      <c r="D44" s="234">
        <v>-423797</v>
      </c>
      <c r="E44" s="233">
        <v>0</v>
      </c>
      <c r="F44" s="233">
        <v>-4145</v>
      </c>
      <c r="G44" s="233">
        <v>-6513</v>
      </c>
      <c r="H44" s="234">
        <v>-34810</v>
      </c>
      <c r="I44" s="233">
        <v>0</v>
      </c>
      <c r="J44" s="233">
        <v>-5000</v>
      </c>
      <c r="K44" s="233">
        <v>-5000</v>
      </c>
      <c r="L44" s="233"/>
      <c r="M44" s="233">
        <v>-423428</v>
      </c>
      <c r="N44" s="234">
        <v>-423797</v>
      </c>
      <c r="O44" s="233">
        <v>0</v>
      </c>
      <c r="P44" s="233">
        <v>-4145</v>
      </c>
      <c r="Q44" s="233">
        <v>-6513</v>
      </c>
      <c r="R44" s="234">
        <v>-34810</v>
      </c>
      <c r="S44" s="233">
        <v>0</v>
      </c>
      <c r="T44" s="233">
        <v>-5000</v>
      </c>
      <c r="U44" s="233">
        <v>-5000</v>
      </c>
      <c r="V44" s="234">
        <v>-5000</v>
      </c>
      <c r="W44" s="233">
        <v>-3500</v>
      </c>
      <c r="X44" s="233">
        <v>-3500</v>
      </c>
      <c r="Y44" s="233">
        <v>-12500</v>
      </c>
      <c r="Z44" s="234">
        <v>-12500</v>
      </c>
      <c r="AA44" s="233">
        <v>0</v>
      </c>
      <c r="AB44" s="233">
        <v>0</v>
      </c>
      <c r="AC44" s="233">
        <v>0</v>
      </c>
      <c r="AD44" s="234">
        <v>0</v>
      </c>
      <c r="AE44" s="233">
        <v>0</v>
      </c>
      <c r="AF44" s="233">
        <v>0</v>
      </c>
      <c r="AG44" s="233">
        <v>0</v>
      </c>
      <c r="AH44" s="234">
        <v>0</v>
      </c>
      <c r="AI44" s="233">
        <v>0</v>
      </c>
      <c r="AJ44" s="233">
        <v>0</v>
      </c>
      <c r="AK44" s="233">
        <v>0</v>
      </c>
      <c r="AL44" s="234">
        <v>0</v>
      </c>
      <c r="AM44" s="233">
        <v>0</v>
      </c>
    </row>
    <row r="45" spans="1:39" s="165" customFormat="1">
      <c r="A45" s="161" t="s">
        <v>176</v>
      </c>
      <c r="B45" s="166"/>
      <c r="C45" s="163">
        <f>SUM(C37:C44)</f>
        <v>-440667</v>
      </c>
      <c r="D45" s="164">
        <f>SUM(D37:D44)</f>
        <v>-452374</v>
      </c>
      <c r="E45" s="163">
        <f>SUM(E37:E44)</f>
        <v>-8643</v>
      </c>
      <c r="F45" s="163">
        <v>-19185</v>
      </c>
      <c r="G45" s="163">
        <v>-28002</v>
      </c>
      <c r="H45" s="164">
        <v>-66304</v>
      </c>
      <c r="I45" s="163">
        <f>SUM(I37:I44)</f>
        <v>-13005</v>
      </c>
      <c r="J45" s="163">
        <f>SUM(J37:J44)</f>
        <v>-28499</v>
      </c>
      <c r="K45" s="163">
        <f>SUM(K37:K44)</f>
        <v>-34815</v>
      </c>
      <c r="L45" s="166"/>
      <c r="M45" s="163">
        <f t="shared" ref="M45:W45" si="3">SUM(M37:M44)</f>
        <v>-432093</v>
      </c>
      <c r="N45" s="164">
        <f t="shared" si="3"/>
        <v>-441382</v>
      </c>
      <c r="O45" s="163">
        <f t="shared" si="3"/>
        <v>-7047</v>
      </c>
      <c r="P45" s="163">
        <f t="shared" si="3"/>
        <v>-15490</v>
      </c>
      <c r="Q45" s="163">
        <f t="shared" si="3"/>
        <v>-22575</v>
      </c>
      <c r="R45" s="164">
        <f t="shared" si="3"/>
        <v>-58752</v>
      </c>
      <c r="S45" s="163">
        <f t="shared" si="3"/>
        <v>-7444</v>
      </c>
      <c r="T45" s="163">
        <f t="shared" si="3"/>
        <v>-18059</v>
      </c>
      <c r="U45" s="163">
        <f t="shared" si="3"/>
        <v>-20511</v>
      </c>
      <c r="V45" s="164">
        <f t="shared" si="3"/>
        <v>-25182</v>
      </c>
      <c r="W45" s="163">
        <f t="shared" si="3"/>
        <v>29978</v>
      </c>
      <c r="X45" s="163">
        <v>26740</v>
      </c>
      <c r="Y45" s="163">
        <v>27745</v>
      </c>
      <c r="Z45" s="164">
        <f t="shared" ref="Z45:AK45" si="4">SUM(Z37:Z44)</f>
        <v>21438</v>
      </c>
      <c r="AA45" s="163">
        <f t="shared" si="4"/>
        <v>-2281</v>
      </c>
      <c r="AB45" s="163">
        <f t="shared" si="4"/>
        <v>-66</v>
      </c>
      <c r="AC45" s="163">
        <f t="shared" si="4"/>
        <v>-3649</v>
      </c>
      <c r="AD45" s="164">
        <f t="shared" si="4"/>
        <v>-9261</v>
      </c>
      <c r="AE45" s="163">
        <f t="shared" si="4"/>
        <v>-8407</v>
      </c>
      <c r="AF45" s="163">
        <f t="shared" si="4"/>
        <v>-12246</v>
      </c>
      <c r="AG45" s="163">
        <f t="shared" si="4"/>
        <v>-16739</v>
      </c>
      <c r="AH45" s="164">
        <f t="shared" ref="AH45" si="5">SUM(AH37:AH44)</f>
        <v>-21770</v>
      </c>
      <c r="AI45" s="163">
        <f t="shared" si="4"/>
        <v>-2902</v>
      </c>
      <c r="AJ45" s="163">
        <f t="shared" si="4"/>
        <v>24478</v>
      </c>
      <c r="AK45" s="163">
        <f t="shared" si="4"/>
        <v>21259</v>
      </c>
      <c r="AL45" s="164">
        <f t="shared" ref="AL45:AM45" si="6">SUM(AL37:AL44)</f>
        <v>17918</v>
      </c>
      <c r="AM45" s="163">
        <f t="shared" si="6"/>
        <v>-584</v>
      </c>
    </row>
    <row r="46" spans="1:39" s="209" customFormat="1" ht="9.75" customHeight="1">
      <c r="A46" s="235"/>
      <c r="B46" s="233"/>
      <c r="C46" s="233"/>
      <c r="D46" s="234"/>
      <c r="E46" s="233"/>
      <c r="F46" s="233"/>
      <c r="G46" s="233"/>
      <c r="H46" s="234"/>
      <c r="I46" s="233"/>
      <c r="J46" s="233"/>
      <c r="K46" s="233"/>
      <c r="L46" s="233"/>
      <c r="M46" s="233"/>
      <c r="N46" s="234"/>
      <c r="O46" s="233" t="s">
        <v>159</v>
      </c>
      <c r="P46" s="233" t="s">
        <v>159</v>
      </c>
      <c r="Q46" s="233" t="s">
        <v>159</v>
      </c>
      <c r="R46" s="234"/>
      <c r="S46" s="233" t="s">
        <v>159</v>
      </c>
      <c r="T46" s="232" t="s">
        <v>159</v>
      </c>
      <c r="U46" s="233" t="s">
        <v>159</v>
      </c>
      <c r="V46" s="234"/>
      <c r="W46" s="233" t="s">
        <v>159</v>
      </c>
      <c r="X46" s="233"/>
      <c r="Y46" s="233"/>
      <c r="Z46" s="234"/>
      <c r="AA46" s="233"/>
      <c r="AB46" s="233"/>
      <c r="AC46" s="233"/>
      <c r="AD46" s="234"/>
      <c r="AE46" s="233"/>
      <c r="AF46" s="233"/>
      <c r="AG46" s="233"/>
      <c r="AH46" s="234"/>
      <c r="AI46" s="233"/>
      <c r="AJ46" s="233"/>
      <c r="AK46" s="233"/>
      <c r="AL46" s="234"/>
      <c r="AM46" s="233"/>
    </row>
    <row r="47" spans="1:39" s="209" customFormat="1">
      <c r="A47" s="161" t="s">
        <v>177</v>
      </c>
      <c r="B47" s="233"/>
      <c r="C47" s="233"/>
      <c r="D47" s="234"/>
      <c r="E47" s="233"/>
      <c r="F47" s="233"/>
      <c r="G47" s="233"/>
      <c r="H47" s="234"/>
      <c r="I47" s="233"/>
      <c r="J47" s="233"/>
      <c r="K47" s="233"/>
      <c r="L47" s="233"/>
      <c r="M47" s="233"/>
      <c r="N47" s="234"/>
      <c r="O47" s="233"/>
      <c r="P47" s="233"/>
      <c r="Q47" s="233"/>
      <c r="R47" s="234" t="s">
        <v>159</v>
      </c>
      <c r="S47" s="233"/>
      <c r="T47" s="232"/>
      <c r="U47" s="233"/>
      <c r="V47" s="234" t="s">
        <v>159</v>
      </c>
      <c r="W47" s="233"/>
      <c r="X47" s="233"/>
      <c r="Y47" s="233"/>
      <c r="Z47" s="234" t="s">
        <v>159</v>
      </c>
      <c r="AA47" s="233"/>
      <c r="AB47" s="233"/>
      <c r="AC47" s="233"/>
      <c r="AD47" s="234"/>
      <c r="AE47" s="233"/>
      <c r="AF47" s="233"/>
      <c r="AG47" s="233"/>
      <c r="AH47" s="234"/>
      <c r="AI47" s="233"/>
      <c r="AJ47" s="233"/>
      <c r="AK47" s="233"/>
      <c r="AL47" s="234"/>
      <c r="AM47" s="233"/>
    </row>
    <row r="48" spans="1:39" s="209" customFormat="1">
      <c r="A48" s="235" t="s">
        <v>178</v>
      </c>
      <c r="B48" s="233"/>
      <c r="C48" s="233">
        <v>-210</v>
      </c>
      <c r="D48" s="234">
        <v>-210</v>
      </c>
      <c r="E48" s="233">
        <v>0</v>
      </c>
      <c r="F48" s="233">
        <v>0</v>
      </c>
      <c r="G48" s="233">
        <v>0</v>
      </c>
      <c r="H48" s="234">
        <v>0</v>
      </c>
      <c r="I48" s="233">
        <v>0</v>
      </c>
      <c r="J48" s="233">
        <v>0</v>
      </c>
      <c r="K48" s="233">
        <v>0</v>
      </c>
      <c r="L48" s="233"/>
      <c r="M48" s="233">
        <v>-210</v>
      </c>
      <c r="N48" s="234">
        <v>-210</v>
      </c>
      <c r="O48" s="233">
        <v>0</v>
      </c>
      <c r="P48" s="233">
        <v>0</v>
      </c>
      <c r="Q48" s="233">
        <v>0</v>
      </c>
      <c r="R48" s="234">
        <v>0</v>
      </c>
      <c r="S48" s="233">
        <v>0</v>
      </c>
      <c r="T48" s="232">
        <v>0</v>
      </c>
      <c r="U48" s="233">
        <v>0</v>
      </c>
      <c r="V48" s="234">
        <v>0</v>
      </c>
      <c r="W48" s="233">
        <v>0</v>
      </c>
      <c r="X48" s="233">
        <v>0</v>
      </c>
      <c r="Y48" s="233">
        <v>0</v>
      </c>
      <c r="Z48" s="234">
        <v>0</v>
      </c>
      <c r="AA48" s="233">
        <v>0</v>
      </c>
      <c r="AB48" s="233">
        <v>0</v>
      </c>
      <c r="AC48" s="233">
        <v>0</v>
      </c>
      <c r="AD48" s="234">
        <v>0</v>
      </c>
      <c r="AE48" s="233">
        <v>0</v>
      </c>
      <c r="AF48" s="233">
        <v>0</v>
      </c>
      <c r="AG48" s="233"/>
      <c r="AH48" s="234"/>
      <c r="AI48" s="233"/>
      <c r="AJ48" s="233"/>
      <c r="AK48" s="233"/>
      <c r="AL48" s="234"/>
      <c r="AM48" s="233">
        <v>0</v>
      </c>
    </row>
    <row r="49" spans="1:40" s="209" customFormat="1">
      <c r="A49" s="235" t="s">
        <v>179</v>
      </c>
      <c r="B49" s="233"/>
      <c r="C49" s="233">
        <v>35512</v>
      </c>
      <c r="D49" s="234">
        <v>35512</v>
      </c>
      <c r="E49" s="233">
        <v>0</v>
      </c>
      <c r="F49" s="233">
        <v>0</v>
      </c>
      <c r="G49" s="233">
        <v>1067</v>
      </c>
      <c r="H49" s="234">
        <v>1067</v>
      </c>
      <c r="I49" s="233">
        <v>0</v>
      </c>
      <c r="J49" s="233">
        <v>355</v>
      </c>
      <c r="K49" s="233">
        <v>355</v>
      </c>
      <c r="L49" s="233"/>
      <c r="M49" s="233">
        <v>0</v>
      </c>
      <c r="N49" s="234">
        <v>0</v>
      </c>
      <c r="O49" s="233">
        <v>0</v>
      </c>
      <c r="P49" s="233">
        <v>0</v>
      </c>
      <c r="Q49" s="233">
        <v>0</v>
      </c>
      <c r="R49" s="234">
        <v>0</v>
      </c>
      <c r="S49" s="233">
        <v>0</v>
      </c>
      <c r="T49" s="232">
        <v>0</v>
      </c>
      <c r="U49" s="233">
        <v>0</v>
      </c>
      <c r="V49" s="234">
        <v>0</v>
      </c>
      <c r="W49" s="233">
        <v>0</v>
      </c>
      <c r="X49" s="233">
        <v>0</v>
      </c>
      <c r="Y49" s="233">
        <v>0</v>
      </c>
      <c r="Z49" s="234">
        <v>0</v>
      </c>
      <c r="AA49" s="233">
        <v>0</v>
      </c>
      <c r="AB49" s="233">
        <v>0</v>
      </c>
      <c r="AC49" s="233">
        <v>0</v>
      </c>
      <c r="AD49" s="234">
        <v>0</v>
      </c>
      <c r="AE49" s="233">
        <v>0</v>
      </c>
      <c r="AF49" s="233">
        <v>0</v>
      </c>
      <c r="AG49" s="233"/>
      <c r="AH49" s="234"/>
      <c r="AI49" s="233"/>
      <c r="AJ49" s="233"/>
      <c r="AK49" s="233"/>
      <c r="AL49" s="234"/>
      <c r="AM49" s="233">
        <v>0</v>
      </c>
    </row>
    <row r="50" spans="1:40" s="209" customFormat="1">
      <c r="A50" s="235" t="s">
        <v>180</v>
      </c>
      <c r="B50" s="233"/>
      <c r="C50" s="233">
        <v>204417</v>
      </c>
      <c r="D50" s="234">
        <v>204417</v>
      </c>
      <c r="E50" s="233">
        <v>0</v>
      </c>
      <c r="F50" s="233">
        <v>0</v>
      </c>
      <c r="G50" s="233">
        <v>0</v>
      </c>
      <c r="H50" s="234">
        <v>0</v>
      </c>
      <c r="I50" s="233">
        <v>0</v>
      </c>
      <c r="J50" s="233">
        <v>0</v>
      </c>
      <c r="K50" s="233">
        <v>0</v>
      </c>
      <c r="L50" s="233"/>
      <c r="M50" s="233">
        <v>204417</v>
      </c>
      <c r="N50" s="234">
        <v>204417</v>
      </c>
      <c r="O50" s="233">
        <v>0</v>
      </c>
      <c r="P50" s="233">
        <v>0</v>
      </c>
      <c r="Q50" s="233">
        <v>0</v>
      </c>
      <c r="R50" s="234">
        <v>0</v>
      </c>
      <c r="S50" s="233">
        <v>0</v>
      </c>
      <c r="T50" s="232">
        <v>0</v>
      </c>
      <c r="U50" s="233">
        <v>0</v>
      </c>
      <c r="V50" s="234">
        <v>0</v>
      </c>
      <c r="W50" s="233">
        <v>0</v>
      </c>
      <c r="X50" s="233">
        <v>0</v>
      </c>
      <c r="Y50" s="233">
        <v>0</v>
      </c>
      <c r="Z50" s="234">
        <v>0</v>
      </c>
      <c r="AA50" s="233">
        <v>25065</v>
      </c>
      <c r="AB50" s="233">
        <f>25065+18118</f>
        <v>43183</v>
      </c>
      <c r="AC50" s="233">
        <f>25065+249169</f>
        <v>274234</v>
      </c>
      <c r="AD50" s="234">
        <f>25065+379963</f>
        <v>405028</v>
      </c>
      <c r="AE50" s="233">
        <v>119196</v>
      </c>
      <c r="AF50" s="233">
        <v>177388</v>
      </c>
      <c r="AG50" s="233">
        <v>245073</v>
      </c>
      <c r="AH50" s="234">
        <f>55+276337</f>
        <v>276392</v>
      </c>
      <c r="AI50" s="244">
        <v>69260</v>
      </c>
      <c r="AJ50" s="244">
        <v>69260</v>
      </c>
      <c r="AK50" s="233">
        <v>69260</v>
      </c>
      <c r="AL50" s="234">
        <v>69260</v>
      </c>
      <c r="AM50" s="233">
        <v>0</v>
      </c>
    </row>
    <row r="51" spans="1:40" s="209" customFormat="1" ht="27.6">
      <c r="A51" s="235" t="s">
        <v>378</v>
      </c>
      <c r="B51" s="233"/>
      <c r="C51" s="233"/>
      <c r="D51" s="234"/>
      <c r="E51" s="233"/>
      <c r="F51" s="233"/>
      <c r="G51" s="233"/>
      <c r="H51" s="234"/>
      <c r="I51" s="233"/>
      <c r="J51" s="233"/>
      <c r="K51" s="233"/>
      <c r="L51" s="233"/>
      <c r="M51" s="233"/>
      <c r="N51" s="234"/>
      <c r="O51" s="233"/>
      <c r="P51" s="233"/>
      <c r="Q51" s="233"/>
      <c r="R51" s="234"/>
      <c r="S51" s="233"/>
      <c r="T51" s="232"/>
      <c r="U51" s="233"/>
      <c r="V51" s="234"/>
      <c r="W51" s="233"/>
      <c r="X51" s="233"/>
      <c r="Y51" s="233"/>
      <c r="Z51" s="234"/>
      <c r="AA51" s="233"/>
      <c r="AB51" s="233"/>
      <c r="AC51" s="233"/>
      <c r="AD51" s="234"/>
      <c r="AE51" s="233"/>
      <c r="AF51" s="233"/>
      <c r="AG51" s="233"/>
      <c r="AH51" s="234"/>
      <c r="AI51" s="233"/>
      <c r="AJ51" s="244"/>
      <c r="AK51" s="233"/>
      <c r="AL51" s="234">
        <v>5205</v>
      </c>
      <c r="AM51" s="233">
        <v>0</v>
      </c>
    </row>
    <row r="52" spans="1:40" s="209" customFormat="1">
      <c r="A52" s="235" t="s">
        <v>181</v>
      </c>
      <c r="B52" s="233"/>
      <c r="C52" s="233"/>
      <c r="D52" s="234"/>
      <c r="E52" s="233"/>
      <c r="F52" s="233"/>
      <c r="G52" s="233"/>
      <c r="H52" s="234"/>
      <c r="I52" s="233"/>
      <c r="J52" s="233"/>
      <c r="K52" s="233"/>
      <c r="L52" s="233"/>
      <c r="M52" s="233"/>
      <c r="N52" s="234"/>
      <c r="O52" s="233"/>
      <c r="P52" s="233"/>
      <c r="Q52" s="233"/>
      <c r="R52" s="234"/>
      <c r="S52" s="233"/>
      <c r="T52" s="232"/>
      <c r="U52" s="233"/>
      <c r="V52" s="234"/>
      <c r="W52" s="233"/>
      <c r="X52" s="233"/>
      <c r="Y52" s="233"/>
      <c r="Z52" s="234"/>
      <c r="AA52" s="233"/>
      <c r="AB52" s="233"/>
      <c r="AC52" s="233"/>
      <c r="AD52" s="234"/>
      <c r="AE52" s="233"/>
      <c r="AF52" s="233">
        <v>-1396</v>
      </c>
      <c r="AG52" s="233">
        <v>-2532</v>
      </c>
      <c r="AH52" s="234">
        <v>-2532</v>
      </c>
      <c r="AI52" s="233">
        <v>0</v>
      </c>
      <c r="AJ52" s="233">
        <v>0</v>
      </c>
      <c r="AK52" s="233">
        <v>0</v>
      </c>
      <c r="AL52" s="234">
        <v>0</v>
      </c>
      <c r="AM52" s="233">
        <v>0</v>
      </c>
    </row>
    <row r="53" spans="1:40" s="209" customFormat="1">
      <c r="A53" s="235" t="s">
        <v>182</v>
      </c>
      <c r="B53" s="233"/>
      <c r="C53" s="233">
        <v>27031</v>
      </c>
      <c r="D53" s="234">
        <v>27031</v>
      </c>
      <c r="E53" s="233">
        <v>0</v>
      </c>
      <c r="F53" s="233">
        <v>0</v>
      </c>
      <c r="G53" s="233">
        <v>0</v>
      </c>
      <c r="H53" s="234">
        <v>0</v>
      </c>
      <c r="I53" s="233">
        <v>0</v>
      </c>
      <c r="J53" s="233">
        <v>0</v>
      </c>
      <c r="K53" s="233">
        <v>0</v>
      </c>
      <c r="L53" s="233"/>
      <c r="M53" s="233">
        <v>22333</v>
      </c>
      <c r="N53" s="234">
        <v>22333</v>
      </c>
      <c r="O53" s="233">
        <v>0</v>
      </c>
      <c r="P53" s="233">
        <v>0</v>
      </c>
      <c r="Q53" s="233">
        <v>0</v>
      </c>
      <c r="R53" s="234">
        <v>0</v>
      </c>
      <c r="S53" s="233">
        <v>0</v>
      </c>
      <c r="T53" s="232">
        <v>0</v>
      </c>
      <c r="U53" s="233">
        <v>0</v>
      </c>
      <c r="V53" s="234">
        <v>0</v>
      </c>
      <c r="W53" s="233">
        <v>0</v>
      </c>
      <c r="X53" s="233">
        <v>0</v>
      </c>
      <c r="Y53" s="233">
        <v>0</v>
      </c>
      <c r="Z53" s="234">
        <v>0</v>
      </c>
      <c r="AA53" s="233">
        <v>0</v>
      </c>
      <c r="AB53" s="233">
        <v>0</v>
      </c>
      <c r="AC53" s="233">
        <v>0</v>
      </c>
      <c r="AD53" s="234">
        <v>0</v>
      </c>
      <c r="AE53" s="233">
        <v>0</v>
      </c>
      <c r="AF53" s="233">
        <v>0</v>
      </c>
      <c r="AG53" s="233"/>
      <c r="AH53" s="234"/>
      <c r="AI53" s="233"/>
      <c r="AJ53" s="233"/>
      <c r="AK53" s="233"/>
      <c r="AL53" s="234"/>
      <c r="AM53" s="233">
        <v>0</v>
      </c>
    </row>
    <row r="54" spans="1:40" s="209" customFormat="1">
      <c r="A54" s="235" t="s">
        <v>183</v>
      </c>
      <c r="B54" s="233"/>
      <c r="C54" s="233">
        <v>0</v>
      </c>
      <c r="D54" s="234">
        <v>-249</v>
      </c>
      <c r="E54" s="233">
        <v>0</v>
      </c>
      <c r="F54" s="233">
        <v>-3479</v>
      </c>
      <c r="G54" s="233">
        <v>-4899</v>
      </c>
      <c r="H54" s="234">
        <v>-7221</v>
      </c>
      <c r="I54" s="233">
        <v>-2872</v>
      </c>
      <c r="J54" s="233">
        <v>-3480</v>
      </c>
      <c r="K54" s="233">
        <v>-3480</v>
      </c>
      <c r="L54" s="233"/>
      <c r="M54" s="233">
        <v>0</v>
      </c>
      <c r="N54" s="234">
        <v>-249</v>
      </c>
      <c r="O54" s="233">
        <v>0</v>
      </c>
      <c r="P54" s="233">
        <v>-3479</v>
      </c>
      <c r="Q54" s="233">
        <v>-4899</v>
      </c>
      <c r="R54" s="234">
        <v>-7221</v>
      </c>
      <c r="S54" s="233">
        <v>-2872</v>
      </c>
      <c r="T54" s="232">
        <v>-3480</v>
      </c>
      <c r="U54" s="233">
        <v>-3480</v>
      </c>
      <c r="V54" s="234">
        <v>-3480</v>
      </c>
      <c r="W54" s="233">
        <v>0</v>
      </c>
      <c r="X54" s="233">
        <v>0</v>
      </c>
      <c r="Y54" s="233">
        <v>0</v>
      </c>
      <c r="Z54" s="234"/>
      <c r="AA54" s="233">
        <v>0</v>
      </c>
      <c r="AB54" s="233">
        <v>0</v>
      </c>
      <c r="AC54" s="233">
        <v>0</v>
      </c>
      <c r="AD54" s="234">
        <v>0</v>
      </c>
      <c r="AE54" s="233">
        <v>0</v>
      </c>
      <c r="AF54" s="233">
        <v>0</v>
      </c>
      <c r="AG54" s="233">
        <v>-487</v>
      </c>
      <c r="AH54" s="234">
        <v>-487</v>
      </c>
      <c r="AI54" s="233">
        <v>0</v>
      </c>
      <c r="AJ54" s="233">
        <v>0</v>
      </c>
      <c r="AK54" s="233">
        <v>0</v>
      </c>
      <c r="AL54" s="234">
        <v>0</v>
      </c>
      <c r="AM54" s="233">
        <v>0</v>
      </c>
      <c r="AN54" s="209">
        <v>216812</v>
      </c>
    </row>
    <row r="55" spans="1:40" s="209" customFormat="1">
      <c r="A55" s="235" t="s">
        <v>184</v>
      </c>
      <c r="B55" s="233"/>
      <c r="C55" s="233">
        <v>3040</v>
      </c>
      <c r="D55" s="234">
        <v>3116</v>
      </c>
      <c r="E55" s="233">
        <v>1863</v>
      </c>
      <c r="F55" s="233">
        <v>2152</v>
      </c>
      <c r="G55" s="233">
        <v>3068</v>
      </c>
      <c r="H55" s="234">
        <v>11557</v>
      </c>
      <c r="I55" s="233">
        <v>566</v>
      </c>
      <c r="J55" s="233">
        <v>1544</v>
      </c>
      <c r="K55" s="233">
        <v>1728</v>
      </c>
      <c r="L55" s="233"/>
      <c r="M55" s="233">
        <v>3040</v>
      </c>
      <c r="N55" s="234">
        <v>3116</v>
      </c>
      <c r="O55" s="233">
        <v>1863</v>
      </c>
      <c r="P55" s="233">
        <v>2152</v>
      </c>
      <c r="Q55" s="233">
        <v>3068</v>
      </c>
      <c r="R55" s="234">
        <v>11557</v>
      </c>
      <c r="S55" s="233">
        <v>6904</v>
      </c>
      <c r="T55" s="232">
        <v>14092</v>
      </c>
      <c r="U55" s="233">
        <v>21530</v>
      </c>
      <c r="V55" s="234">
        <v>39153</v>
      </c>
      <c r="W55" s="233">
        <v>11241</v>
      </c>
      <c r="X55" s="233">
        <v>23248</v>
      </c>
      <c r="Y55" s="233">
        <v>28626</v>
      </c>
      <c r="Z55" s="234">
        <v>29260</v>
      </c>
      <c r="AA55" s="233">
        <v>1959</v>
      </c>
      <c r="AB55" s="233">
        <v>4776</v>
      </c>
      <c r="AC55" s="233">
        <v>8537</v>
      </c>
      <c r="AD55" s="234">
        <v>126352</v>
      </c>
      <c r="AE55" s="233">
        <v>1865</v>
      </c>
      <c r="AF55" s="233">
        <v>5491</v>
      </c>
      <c r="AG55" s="233">
        <v>7500</v>
      </c>
      <c r="AH55" s="234">
        <v>10095</v>
      </c>
      <c r="AI55" s="244">
        <v>2152</v>
      </c>
      <c r="AJ55" s="233">
        <v>24289</v>
      </c>
      <c r="AK55" s="233">
        <v>41843</v>
      </c>
      <c r="AL55" s="234">
        <v>8709</v>
      </c>
      <c r="AM55" s="233">
        <v>3219</v>
      </c>
      <c r="AN55" s="209">
        <v>123353</v>
      </c>
    </row>
    <row r="56" spans="1:40" s="209" customFormat="1">
      <c r="A56" s="235" t="s">
        <v>375</v>
      </c>
      <c r="B56" s="233"/>
      <c r="C56" s="233"/>
      <c r="D56" s="234"/>
      <c r="E56" s="233"/>
      <c r="F56" s="233"/>
      <c r="G56" s="233"/>
      <c r="H56" s="234"/>
      <c r="I56" s="233"/>
      <c r="J56" s="233"/>
      <c r="K56" s="233"/>
      <c r="L56" s="233"/>
      <c r="M56" s="233"/>
      <c r="N56" s="234"/>
      <c r="O56" s="233"/>
      <c r="P56" s="233"/>
      <c r="Q56" s="233"/>
      <c r="R56" s="234"/>
      <c r="S56" s="233"/>
      <c r="T56" s="232"/>
      <c r="U56" s="233"/>
      <c r="V56" s="234"/>
      <c r="W56" s="233"/>
      <c r="X56" s="233"/>
      <c r="Y56" s="233"/>
      <c r="Z56" s="234"/>
      <c r="AA56" s="233"/>
      <c r="AB56" s="233"/>
      <c r="AC56" s="233"/>
      <c r="AD56" s="234"/>
      <c r="AE56" s="233"/>
      <c r="AF56" s="233"/>
      <c r="AG56" s="233"/>
      <c r="AH56" s="234"/>
      <c r="AI56" s="244">
        <v>31985</v>
      </c>
      <c r="AJ56" s="233"/>
      <c r="AK56" s="233"/>
      <c r="AL56" s="234">
        <v>88396</v>
      </c>
      <c r="AM56" s="233">
        <v>348</v>
      </c>
    </row>
    <row r="57" spans="1:40" s="209" customFormat="1">
      <c r="A57" s="235" t="s">
        <v>185</v>
      </c>
      <c r="B57" s="233"/>
      <c r="C57" s="233">
        <v>0</v>
      </c>
      <c r="D57" s="234">
        <v>0</v>
      </c>
      <c r="E57" s="233">
        <v>0</v>
      </c>
      <c r="F57" s="233">
        <v>0</v>
      </c>
      <c r="G57" s="233">
        <v>0</v>
      </c>
      <c r="H57" s="234">
        <v>0</v>
      </c>
      <c r="I57" s="233">
        <v>1118</v>
      </c>
      <c r="J57" s="233">
        <v>2426</v>
      </c>
      <c r="K57" s="233">
        <v>-494</v>
      </c>
      <c r="L57" s="233"/>
      <c r="M57" s="233">
        <v>0</v>
      </c>
      <c r="N57" s="234">
        <v>0</v>
      </c>
      <c r="O57" s="233">
        <v>0</v>
      </c>
      <c r="P57" s="233">
        <v>0</v>
      </c>
      <c r="Q57" s="233">
        <v>0</v>
      </c>
      <c r="R57" s="234">
        <v>0</v>
      </c>
      <c r="S57" s="233">
        <v>1118</v>
      </c>
      <c r="T57" s="232">
        <v>2426</v>
      </c>
      <c r="U57" s="233">
        <v>-494</v>
      </c>
      <c r="V57" s="234">
        <v>3307</v>
      </c>
      <c r="W57" s="233">
        <v>108549</v>
      </c>
      <c r="X57" s="233">
        <v>83837</v>
      </c>
      <c r="Y57" s="233">
        <v>82665</v>
      </c>
      <c r="Z57" s="234">
        <v>93832</v>
      </c>
      <c r="AA57" s="233">
        <v>899</v>
      </c>
      <c r="AB57" s="233">
        <v>-2702</v>
      </c>
      <c r="AC57" s="233">
        <f>102141-105112</f>
        <v>-2971</v>
      </c>
      <c r="AD57" s="234">
        <f>142501-144965</f>
        <v>-2464</v>
      </c>
      <c r="AE57" s="233">
        <f>35837-34144</f>
        <v>1693</v>
      </c>
      <c r="AF57" s="233">
        <f>69143-160684</f>
        <v>-91541</v>
      </c>
      <c r="AG57" s="233">
        <f>93867-186245</f>
        <v>-92378</v>
      </c>
      <c r="AH57" s="234">
        <f>123353-216812</f>
        <v>-93459</v>
      </c>
      <c r="AI57" s="244">
        <v>-31325</v>
      </c>
      <c r="AJ57" s="233">
        <f>62858-63577</f>
        <v>-719</v>
      </c>
      <c r="AK57" s="233">
        <f>-90358+87653</f>
        <v>-2705</v>
      </c>
      <c r="AL57" s="234">
        <v>-92536</v>
      </c>
      <c r="AM57" s="233">
        <v>-311</v>
      </c>
      <c r="AN57" s="209">
        <f>AN54-AN55</f>
        <v>93459</v>
      </c>
    </row>
    <row r="58" spans="1:40" s="209" customFormat="1">
      <c r="A58" s="235" t="s">
        <v>186</v>
      </c>
      <c r="B58" s="233"/>
      <c r="C58" s="233">
        <v>0</v>
      </c>
      <c r="D58" s="234">
        <v>0</v>
      </c>
      <c r="E58" s="233">
        <v>0</v>
      </c>
      <c r="F58" s="233">
        <v>0</v>
      </c>
      <c r="G58" s="233">
        <v>0</v>
      </c>
      <c r="H58" s="234">
        <v>0</v>
      </c>
      <c r="I58" s="233">
        <v>0</v>
      </c>
      <c r="J58" s="233">
        <v>0</v>
      </c>
      <c r="K58" s="233">
        <v>-223</v>
      </c>
      <c r="L58" s="233"/>
      <c r="M58" s="233">
        <v>0</v>
      </c>
      <c r="N58" s="234">
        <v>0</v>
      </c>
      <c r="O58" s="233">
        <v>0</v>
      </c>
      <c r="P58" s="233">
        <v>0</v>
      </c>
      <c r="Q58" s="233">
        <v>0</v>
      </c>
      <c r="R58" s="234">
        <v>0</v>
      </c>
      <c r="S58" s="233">
        <v>0</v>
      </c>
      <c r="T58" s="232">
        <v>0</v>
      </c>
      <c r="U58" s="233">
        <v>-223</v>
      </c>
      <c r="V58" s="234">
        <v>-223</v>
      </c>
      <c r="W58" s="233">
        <v>0</v>
      </c>
      <c r="X58" s="233">
        <v>0</v>
      </c>
      <c r="Y58" s="233">
        <v>0</v>
      </c>
      <c r="Z58" s="234">
        <v>-7</v>
      </c>
      <c r="AA58" s="233">
        <v>0</v>
      </c>
      <c r="AB58" s="233">
        <v>0</v>
      </c>
      <c r="AC58" s="233">
        <v>0</v>
      </c>
      <c r="AD58" s="234">
        <v>0</v>
      </c>
      <c r="AE58" s="233">
        <v>-195</v>
      </c>
      <c r="AF58" s="233">
        <v>-195</v>
      </c>
      <c r="AG58" s="233">
        <v>-138</v>
      </c>
      <c r="AH58" s="234">
        <v>-135</v>
      </c>
      <c r="AI58" s="233">
        <v>0</v>
      </c>
      <c r="AJ58" s="233">
        <v>0</v>
      </c>
      <c r="AK58" s="233">
        <v>0</v>
      </c>
      <c r="AL58" s="234">
        <v>0</v>
      </c>
      <c r="AM58" s="233">
        <v>0</v>
      </c>
    </row>
    <row r="59" spans="1:40" s="209" customFormat="1">
      <c r="A59" s="235" t="s">
        <v>187</v>
      </c>
      <c r="B59" s="233"/>
      <c r="C59" s="233">
        <v>20548</v>
      </c>
      <c r="D59" s="234">
        <v>20548</v>
      </c>
      <c r="E59" s="233">
        <v>0</v>
      </c>
      <c r="F59" s="233">
        <v>0</v>
      </c>
      <c r="G59" s="233">
        <v>0</v>
      </c>
      <c r="H59" s="234">
        <v>0</v>
      </c>
      <c r="I59" s="233">
        <v>0</v>
      </c>
      <c r="J59" s="233">
        <v>0</v>
      </c>
      <c r="K59" s="233"/>
      <c r="L59" s="233"/>
      <c r="M59" s="233">
        <v>20548</v>
      </c>
      <c r="N59" s="234">
        <v>20548</v>
      </c>
      <c r="O59" s="233">
        <v>0</v>
      </c>
      <c r="P59" s="233">
        <v>0</v>
      </c>
      <c r="Q59" s="233">
        <v>0</v>
      </c>
      <c r="R59" s="234">
        <v>0</v>
      </c>
      <c r="S59" s="233">
        <v>0</v>
      </c>
      <c r="T59" s="232">
        <v>0</v>
      </c>
      <c r="U59" s="233">
        <v>0</v>
      </c>
      <c r="V59" s="234">
        <v>0</v>
      </c>
      <c r="W59" s="233">
        <v>0</v>
      </c>
      <c r="X59" s="233">
        <v>0</v>
      </c>
      <c r="Y59" s="233">
        <v>0</v>
      </c>
      <c r="Z59" s="234">
        <v>0</v>
      </c>
      <c r="AA59" s="233">
        <v>0</v>
      </c>
      <c r="AB59" s="233">
        <v>0</v>
      </c>
      <c r="AC59" s="233">
        <v>0</v>
      </c>
      <c r="AD59" s="234">
        <v>269</v>
      </c>
      <c r="AE59" s="233"/>
      <c r="AF59" s="233"/>
      <c r="AG59" s="233"/>
      <c r="AH59" s="234"/>
      <c r="AI59" s="233"/>
      <c r="AJ59" s="233"/>
      <c r="AK59" s="233"/>
      <c r="AL59" s="234"/>
      <c r="AM59" s="233">
        <v>0</v>
      </c>
    </row>
    <row r="60" spans="1:40" s="209" customFormat="1">
      <c r="A60" s="235" t="s">
        <v>346</v>
      </c>
      <c r="B60" s="233"/>
      <c r="C60" s="233">
        <v>1320500</v>
      </c>
      <c r="D60" s="234">
        <v>1320500</v>
      </c>
      <c r="E60" s="233">
        <v>0</v>
      </c>
      <c r="F60" s="233">
        <v>0</v>
      </c>
      <c r="G60" s="233">
        <v>30000</v>
      </c>
      <c r="H60" s="234">
        <v>30000</v>
      </c>
      <c r="I60" s="233">
        <v>0</v>
      </c>
      <c r="J60" s="233">
        <v>29850</v>
      </c>
      <c r="K60" s="233">
        <v>29850</v>
      </c>
      <c r="L60" s="233"/>
      <c r="M60" s="233">
        <v>343000</v>
      </c>
      <c r="N60" s="234">
        <v>343000</v>
      </c>
      <c r="O60" s="233">
        <v>0</v>
      </c>
      <c r="P60" s="233">
        <v>0</v>
      </c>
      <c r="Q60" s="233">
        <v>30000</v>
      </c>
      <c r="R60" s="234">
        <v>30000</v>
      </c>
      <c r="S60" s="233">
        <v>0</v>
      </c>
      <c r="T60" s="232">
        <v>29850</v>
      </c>
      <c r="U60" s="233">
        <v>29850</v>
      </c>
      <c r="V60" s="234">
        <v>29850</v>
      </c>
      <c r="W60" s="233">
        <v>0</v>
      </c>
      <c r="X60" s="233">
        <v>0</v>
      </c>
      <c r="Y60" s="233">
        <v>0</v>
      </c>
      <c r="Z60" s="234">
        <v>0</v>
      </c>
      <c r="AA60" s="233">
        <v>0</v>
      </c>
      <c r="AB60" s="233">
        <v>0</v>
      </c>
      <c r="AC60" s="233">
        <v>0</v>
      </c>
      <c r="AD60" s="234">
        <v>0</v>
      </c>
      <c r="AE60" s="233">
        <v>0</v>
      </c>
      <c r="AF60" s="233">
        <v>0</v>
      </c>
      <c r="AG60" s="233"/>
      <c r="AH60" s="234"/>
      <c r="AI60" s="244">
        <v>31500</v>
      </c>
      <c r="AJ60" s="233">
        <f>31500</f>
        <v>31500</v>
      </c>
      <c r="AK60" s="233">
        <f>31500+40000</f>
        <v>71500</v>
      </c>
      <c r="AL60" s="234">
        <f>31500+40000</f>
        <v>71500</v>
      </c>
      <c r="AM60" s="233">
        <v>0</v>
      </c>
    </row>
    <row r="61" spans="1:40" s="209" customFormat="1">
      <c r="A61" s="235" t="s">
        <v>188</v>
      </c>
      <c r="B61" s="233"/>
      <c r="C61" s="233">
        <v>-1055736</v>
      </c>
      <c r="D61" s="234">
        <v>-1055736</v>
      </c>
      <c r="E61" s="233">
        <v>0</v>
      </c>
      <c r="F61" s="233">
        <v>0</v>
      </c>
      <c r="G61" s="233">
        <v>0</v>
      </c>
      <c r="H61" s="234">
        <v>0</v>
      </c>
      <c r="I61" s="233">
        <v>0</v>
      </c>
      <c r="J61" s="233">
        <v>0</v>
      </c>
      <c r="K61" s="233">
        <v>0</v>
      </c>
      <c r="L61" s="233"/>
      <c r="M61" s="233">
        <v>-1055736</v>
      </c>
      <c r="N61" s="234">
        <v>-1055736</v>
      </c>
      <c r="O61" s="233">
        <v>0</v>
      </c>
      <c r="P61" s="233">
        <v>0</v>
      </c>
      <c r="Q61" s="233">
        <v>0</v>
      </c>
      <c r="R61" s="234">
        <v>0</v>
      </c>
      <c r="S61" s="233">
        <v>0</v>
      </c>
      <c r="T61" s="232">
        <v>0</v>
      </c>
      <c r="U61" s="233">
        <v>0</v>
      </c>
      <c r="V61" s="234">
        <v>0</v>
      </c>
      <c r="W61" s="233">
        <v>0</v>
      </c>
      <c r="X61" s="233">
        <v>0</v>
      </c>
      <c r="Y61" s="233">
        <v>0</v>
      </c>
      <c r="Z61" s="234">
        <v>0</v>
      </c>
      <c r="AA61" s="233">
        <v>0</v>
      </c>
      <c r="AB61" s="233">
        <v>0</v>
      </c>
      <c r="AC61" s="233">
        <v>0</v>
      </c>
      <c r="AD61" s="234">
        <v>0</v>
      </c>
      <c r="AE61" s="233">
        <v>0</v>
      </c>
      <c r="AF61" s="233">
        <v>0</v>
      </c>
      <c r="AG61" s="233"/>
      <c r="AH61" s="234"/>
      <c r="AI61" s="233"/>
      <c r="AJ61" s="233"/>
      <c r="AK61" s="233"/>
      <c r="AL61" s="234"/>
      <c r="AM61" s="233">
        <v>0</v>
      </c>
    </row>
    <row r="62" spans="1:40" s="209" customFormat="1">
      <c r="A62" s="235" t="s">
        <v>189</v>
      </c>
      <c r="B62" s="233"/>
      <c r="C62" s="233"/>
      <c r="D62" s="234"/>
      <c r="E62" s="233"/>
      <c r="F62" s="233"/>
      <c r="G62" s="233"/>
      <c r="H62" s="234"/>
      <c r="I62" s="233"/>
      <c r="J62" s="233"/>
      <c r="K62" s="233"/>
      <c r="L62" s="233"/>
      <c r="M62" s="233"/>
      <c r="N62" s="234">
        <v>-157</v>
      </c>
      <c r="O62" s="233">
        <v>-26</v>
      </c>
      <c r="P62" s="233">
        <v>-56</v>
      </c>
      <c r="Q62" s="233">
        <v>-213</v>
      </c>
      <c r="R62" s="234">
        <v>-592</v>
      </c>
      <c r="S62" s="233">
        <v>-45</v>
      </c>
      <c r="T62" s="232">
        <v>-95</v>
      </c>
      <c r="U62" s="233">
        <v>-314</v>
      </c>
      <c r="V62" s="234">
        <v>-318</v>
      </c>
      <c r="W62" s="233">
        <v>-14</v>
      </c>
      <c r="X62" s="233">
        <v>-331</v>
      </c>
      <c r="Y62" s="233">
        <v>-331</v>
      </c>
      <c r="Z62" s="234">
        <v>-337</v>
      </c>
      <c r="AA62" s="233">
        <v>-16</v>
      </c>
      <c r="AB62" s="233">
        <v>-119</v>
      </c>
      <c r="AC62" s="233">
        <v>-125</v>
      </c>
      <c r="AD62" s="234">
        <v>-1303</v>
      </c>
      <c r="AE62" s="233">
        <v>-15</v>
      </c>
      <c r="AF62" s="233">
        <v>-15</v>
      </c>
      <c r="AG62" s="233">
        <v>3</v>
      </c>
      <c r="AH62" s="234">
        <v>3</v>
      </c>
      <c r="AI62" s="233">
        <v>0</v>
      </c>
      <c r="AJ62" s="233">
        <v>0</v>
      </c>
      <c r="AK62" s="233">
        <v>0</v>
      </c>
      <c r="AL62" s="234">
        <v>0</v>
      </c>
      <c r="AM62" s="233">
        <v>0</v>
      </c>
    </row>
    <row r="63" spans="1:40" s="209" customFormat="1">
      <c r="A63" s="235" t="s">
        <v>190</v>
      </c>
      <c r="B63" s="233"/>
      <c r="C63" s="233">
        <v>-149</v>
      </c>
      <c r="D63" s="234">
        <v>-149</v>
      </c>
      <c r="E63" s="233">
        <v>-7500</v>
      </c>
      <c r="F63" s="233">
        <v>-7500</v>
      </c>
      <c r="G63" s="233">
        <v>-7500</v>
      </c>
      <c r="H63" s="234">
        <v>-7500</v>
      </c>
      <c r="I63" s="233">
        <v>0</v>
      </c>
      <c r="J63" s="233">
        <v>0</v>
      </c>
      <c r="K63" s="233">
        <v>0</v>
      </c>
      <c r="L63" s="233"/>
      <c r="M63" s="233">
        <v>-149</v>
      </c>
      <c r="N63" s="234">
        <v>-149</v>
      </c>
      <c r="O63" s="233">
        <v>0</v>
      </c>
      <c r="P63" s="233">
        <v>0</v>
      </c>
      <c r="Q63" s="233">
        <v>-130</v>
      </c>
      <c r="R63" s="234">
        <v>-7500</v>
      </c>
      <c r="S63" s="233">
        <v>0</v>
      </c>
      <c r="T63" s="232">
        <v>-7</v>
      </c>
      <c r="U63" s="233">
        <v>-7</v>
      </c>
      <c r="V63" s="234">
        <v>0</v>
      </c>
      <c r="W63" s="233">
        <v>0</v>
      </c>
      <c r="X63" s="233">
        <v>0</v>
      </c>
      <c r="Y63" s="233">
        <v>0</v>
      </c>
      <c r="Z63" s="234">
        <v>0</v>
      </c>
      <c r="AA63" s="233">
        <v>0</v>
      </c>
      <c r="AB63" s="233">
        <v>-745</v>
      </c>
      <c r="AC63" s="233">
        <v>-9060</v>
      </c>
      <c r="AD63" s="234">
        <v>-13423</v>
      </c>
      <c r="AE63" s="233">
        <v>-4664</v>
      </c>
      <c r="AF63" s="233">
        <v>-6493</v>
      </c>
      <c r="AG63" s="233">
        <v>-8480</v>
      </c>
      <c r="AH63" s="234">
        <v>-9482</v>
      </c>
      <c r="AI63" s="244">
        <v>-2232</v>
      </c>
      <c r="AJ63" s="233">
        <v>-2232</v>
      </c>
      <c r="AK63" s="233">
        <v>-2232</v>
      </c>
      <c r="AL63" s="234">
        <v>-2232</v>
      </c>
      <c r="AM63" s="233">
        <v>0</v>
      </c>
    </row>
    <row r="64" spans="1:40" s="209" customFormat="1">
      <c r="A64" s="235" t="s">
        <v>352</v>
      </c>
      <c r="B64" s="233"/>
      <c r="C64" s="233"/>
      <c r="D64" s="234"/>
      <c r="E64" s="233"/>
      <c r="F64" s="233"/>
      <c r="G64" s="233"/>
      <c r="H64" s="234"/>
      <c r="I64" s="233"/>
      <c r="J64" s="233"/>
      <c r="K64" s="233"/>
      <c r="L64" s="233"/>
      <c r="M64" s="233"/>
      <c r="N64" s="234"/>
      <c r="O64" s="233"/>
      <c r="P64" s="233"/>
      <c r="Q64" s="233"/>
      <c r="R64" s="234"/>
      <c r="S64" s="233"/>
      <c r="T64" s="232"/>
      <c r="U64" s="233"/>
      <c r="V64" s="234"/>
      <c r="W64" s="233"/>
      <c r="X64" s="233"/>
      <c r="Y64" s="233"/>
      <c r="Z64" s="234"/>
      <c r="AA64" s="233"/>
      <c r="AB64" s="233"/>
      <c r="AC64" s="233"/>
      <c r="AD64" s="234"/>
      <c r="AE64" s="233"/>
      <c r="AF64" s="233"/>
      <c r="AG64" s="233"/>
      <c r="AH64" s="234"/>
      <c r="AI64" s="233">
        <v>0</v>
      </c>
      <c r="AJ64" s="233">
        <v>-31</v>
      </c>
      <c r="AK64" s="233">
        <v>-31</v>
      </c>
      <c r="AL64" s="234">
        <v>-31</v>
      </c>
      <c r="AM64" s="233">
        <v>0</v>
      </c>
    </row>
    <row r="65" spans="1:39" s="209" customFormat="1">
      <c r="A65" s="235" t="s">
        <v>191</v>
      </c>
      <c r="B65" s="233"/>
      <c r="C65" s="233">
        <v>-39837</v>
      </c>
      <c r="D65" s="234">
        <v>-39837</v>
      </c>
      <c r="E65" s="233">
        <v>0</v>
      </c>
      <c r="F65" s="233">
        <v>0</v>
      </c>
      <c r="G65" s="233">
        <v>-1094</v>
      </c>
      <c r="H65" s="234">
        <v>-1094</v>
      </c>
      <c r="I65" s="233">
        <v>0</v>
      </c>
      <c r="J65" s="233">
        <v>-362</v>
      </c>
      <c r="K65" s="233">
        <v>-362</v>
      </c>
      <c r="L65" s="233"/>
      <c r="M65" s="233">
        <v>-38784</v>
      </c>
      <c r="N65" s="234">
        <v>-38784</v>
      </c>
      <c r="O65" s="233">
        <v>-7500</v>
      </c>
      <c r="P65" s="233">
        <v>-7500</v>
      </c>
      <c r="Q65" s="233">
        <v>-7500</v>
      </c>
      <c r="R65" s="234">
        <v>-130</v>
      </c>
      <c r="S65" s="233">
        <v>0</v>
      </c>
      <c r="T65" s="232">
        <v>0</v>
      </c>
      <c r="U65" s="233">
        <v>0</v>
      </c>
      <c r="V65" s="234">
        <v>-7</v>
      </c>
      <c r="W65" s="233">
        <v>-2908</v>
      </c>
      <c r="X65" s="233">
        <v>-12708</v>
      </c>
      <c r="Y65" s="233">
        <v>-12708</v>
      </c>
      <c r="Z65" s="234">
        <v>-16205</v>
      </c>
      <c r="AA65" s="233">
        <v>0</v>
      </c>
      <c r="AB65" s="233">
        <v>0</v>
      </c>
      <c r="AC65" s="233">
        <v>0</v>
      </c>
      <c r="AD65" s="234">
        <v>-1181</v>
      </c>
      <c r="AE65" s="233">
        <v>-5615</v>
      </c>
      <c r="AF65" s="233">
        <v>-7125</v>
      </c>
      <c r="AG65" s="233">
        <v>-7125</v>
      </c>
      <c r="AH65" s="234">
        <v>-7125</v>
      </c>
      <c r="AI65" s="244">
        <v>-6308</v>
      </c>
      <c r="AJ65" s="233">
        <v>-6398</v>
      </c>
      <c r="AK65" s="233">
        <v>-8273</v>
      </c>
      <c r="AL65" s="234">
        <v>-8496</v>
      </c>
      <c r="AM65" s="233">
        <v>-193</v>
      </c>
    </row>
    <row r="66" spans="1:39" s="209" customFormat="1" ht="28.5" customHeight="1">
      <c r="A66" s="235" t="s">
        <v>192</v>
      </c>
      <c r="B66" s="233"/>
      <c r="C66" s="233">
        <v>72600</v>
      </c>
      <c r="D66" s="234">
        <v>72600</v>
      </c>
      <c r="E66" s="233">
        <v>25000</v>
      </c>
      <c r="F66" s="233">
        <v>30000</v>
      </c>
      <c r="G66" s="233">
        <v>30000</v>
      </c>
      <c r="H66" s="234">
        <v>30000</v>
      </c>
      <c r="I66" s="233">
        <v>51000</v>
      </c>
      <c r="J66" s="233">
        <v>68000</v>
      </c>
      <c r="K66" s="233">
        <v>130500</v>
      </c>
      <c r="L66" s="233"/>
      <c r="M66" s="233">
        <v>72600</v>
      </c>
      <c r="N66" s="234">
        <v>72600</v>
      </c>
      <c r="O66" s="233">
        <v>25000</v>
      </c>
      <c r="P66" s="233">
        <v>30000</v>
      </c>
      <c r="Q66" s="233">
        <v>30000</v>
      </c>
      <c r="R66" s="234">
        <v>30000</v>
      </c>
      <c r="S66" s="233">
        <v>51000</v>
      </c>
      <c r="T66" s="232">
        <v>68000</v>
      </c>
      <c r="U66" s="233">
        <v>130500</v>
      </c>
      <c r="V66" s="234">
        <v>206500</v>
      </c>
      <c r="W66" s="233">
        <v>29750</v>
      </c>
      <c r="X66" s="233">
        <v>29750</v>
      </c>
      <c r="Y66" s="233">
        <v>29750</v>
      </c>
      <c r="Z66" s="234">
        <v>29750</v>
      </c>
      <c r="AA66" s="233">
        <v>3000</v>
      </c>
      <c r="AB66" s="233">
        <v>3000</v>
      </c>
      <c r="AC66" s="233">
        <v>3000</v>
      </c>
      <c r="AD66" s="234">
        <v>11000</v>
      </c>
      <c r="AE66" s="233">
        <v>0</v>
      </c>
      <c r="AF66" s="233">
        <v>12500</v>
      </c>
      <c r="AG66" s="233">
        <v>20000</v>
      </c>
      <c r="AH66" s="234">
        <v>20000</v>
      </c>
      <c r="AI66" s="244">
        <v>9600</v>
      </c>
      <c r="AJ66" s="233">
        <v>9600</v>
      </c>
      <c r="AK66" s="233">
        <v>9600</v>
      </c>
      <c r="AL66" s="234">
        <v>9600</v>
      </c>
      <c r="AM66" s="233">
        <v>0</v>
      </c>
    </row>
    <row r="67" spans="1:39" s="209" customFormat="1">
      <c r="A67" s="235" t="s">
        <v>193</v>
      </c>
      <c r="B67" s="233"/>
      <c r="C67" s="233">
        <v>-72500</v>
      </c>
      <c r="D67" s="234">
        <v>-72500</v>
      </c>
      <c r="E67" s="233">
        <v>-25000</v>
      </c>
      <c r="F67" s="233">
        <v>-30000</v>
      </c>
      <c r="G67" s="233">
        <v>-30000</v>
      </c>
      <c r="H67" s="234">
        <v>-30000</v>
      </c>
      <c r="I67" s="233">
        <v>-21000</v>
      </c>
      <c r="J67" s="233">
        <v>-68000</v>
      </c>
      <c r="K67" s="233">
        <v>-91500</v>
      </c>
      <c r="L67" s="233"/>
      <c r="M67" s="233">
        <v>-72500</v>
      </c>
      <c r="N67" s="234">
        <v>-72500</v>
      </c>
      <c r="O67" s="233">
        <v>-25000</v>
      </c>
      <c r="P67" s="233">
        <v>-30000</v>
      </c>
      <c r="Q67" s="233">
        <v>-30000</v>
      </c>
      <c r="R67" s="234">
        <v>-30000</v>
      </c>
      <c r="S67" s="233">
        <v>-21000</v>
      </c>
      <c r="T67" s="232">
        <v>-68000</v>
      </c>
      <c r="U67" s="233">
        <v>-91500</v>
      </c>
      <c r="V67" s="234">
        <v>-141500</v>
      </c>
      <c r="W67" s="233">
        <v>-14000</v>
      </c>
      <c r="X67" s="233">
        <v>-14200</v>
      </c>
      <c r="Y67" s="233">
        <v>-14200</v>
      </c>
      <c r="Z67" s="234">
        <v>-14200</v>
      </c>
      <c r="AA67" s="233">
        <v>0</v>
      </c>
      <c r="AB67" s="233">
        <v>-55</v>
      </c>
      <c r="AC67" s="233">
        <v>-55</v>
      </c>
      <c r="AD67" s="234">
        <v>-55</v>
      </c>
      <c r="AE67" s="233">
        <v>-49477</v>
      </c>
      <c r="AF67" s="233">
        <v>-49477</v>
      </c>
      <c r="AG67" s="233">
        <v>-49477</v>
      </c>
      <c r="AH67" s="234">
        <v>-49477</v>
      </c>
      <c r="AI67" s="233">
        <v>0</v>
      </c>
      <c r="AJ67" s="233">
        <v>0</v>
      </c>
      <c r="AK67" s="233">
        <v>0</v>
      </c>
      <c r="AL67" s="234">
        <v>0</v>
      </c>
      <c r="AM67" s="233">
        <v>0</v>
      </c>
    </row>
    <row r="68" spans="1:39" s="209" customFormat="1">
      <c r="A68" s="235" t="s">
        <v>194</v>
      </c>
      <c r="B68" s="233"/>
      <c r="C68" s="233">
        <v>0</v>
      </c>
      <c r="D68" s="234">
        <v>0</v>
      </c>
      <c r="E68" s="233">
        <v>-4803</v>
      </c>
      <c r="F68" s="233">
        <v>-8404</v>
      </c>
      <c r="G68" s="233">
        <v>-12594</v>
      </c>
      <c r="H68" s="234">
        <f>-3474-12594</f>
        <v>-16068</v>
      </c>
      <c r="I68" s="233">
        <v>-5077</v>
      </c>
      <c r="J68" s="233">
        <v>-9180</v>
      </c>
      <c r="K68" s="233">
        <v>-13598</v>
      </c>
      <c r="L68" s="233"/>
      <c r="M68" s="233">
        <v>-7626</v>
      </c>
      <c r="N68" s="234">
        <v>-11361</v>
      </c>
      <c r="O68" s="233">
        <v>-4803</v>
      </c>
      <c r="P68" s="233">
        <v>-8404</v>
      </c>
      <c r="Q68" s="233">
        <v>-12594</v>
      </c>
      <c r="R68" s="234">
        <v>-16068</v>
      </c>
      <c r="S68" s="233">
        <v>-5077</v>
      </c>
      <c r="T68" s="232">
        <v>-9180</v>
      </c>
      <c r="U68" s="233">
        <v>-13598</v>
      </c>
      <c r="V68" s="234">
        <v>-20465</v>
      </c>
      <c r="W68" s="233">
        <v>-3187</v>
      </c>
      <c r="X68" s="233">
        <v>-6353</v>
      </c>
      <c r="Y68" s="233">
        <v>-9614</v>
      </c>
      <c r="Z68" s="234">
        <v>-12758</v>
      </c>
      <c r="AA68" s="233">
        <v>-3029</v>
      </c>
      <c r="AB68" s="233">
        <v>-5600</v>
      </c>
      <c r="AC68" s="233">
        <v>-8446</v>
      </c>
      <c r="AD68" s="234">
        <v>-11471</v>
      </c>
      <c r="AE68" s="233">
        <v>-1516</v>
      </c>
      <c r="AF68" s="233">
        <v>-2884</v>
      </c>
      <c r="AG68" s="233">
        <v>-4342</v>
      </c>
      <c r="AH68" s="234">
        <v>-5523</v>
      </c>
      <c r="AI68" s="244">
        <v>-1137</v>
      </c>
      <c r="AJ68" s="233">
        <v>-2150</v>
      </c>
      <c r="AK68" s="233">
        <v>-3477</v>
      </c>
      <c r="AL68" s="234">
        <v>-4570</v>
      </c>
      <c r="AM68" s="233">
        <v>-1765</v>
      </c>
    </row>
    <row r="69" spans="1:39" s="209" customFormat="1">
      <c r="A69" s="235" t="s">
        <v>195</v>
      </c>
      <c r="B69" s="233"/>
      <c r="C69" s="233"/>
      <c r="D69" s="234"/>
      <c r="E69" s="233"/>
      <c r="F69" s="233"/>
      <c r="G69" s="233"/>
      <c r="H69" s="234"/>
      <c r="I69" s="233"/>
      <c r="J69" s="233"/>
      <c r="K69" s="233"/>
      <c r="L69" s="233"/>
      <c r="M69" s="233">
        <v>977500</v>
      </c>
      <c r="N69" s="234">
        <v>977500</v>
      </c>
      <c r="O69" s="233">
        <v>0</v>
      </c>
      <c r="P69" s="233">
        <v>0</v>
      </c>
      <c r="Q69" s="233">
        <v>0</v>
      </c>
      <c r="R69" s="234">
        <v>0</v>
      </c>
      <c r="S69" s="233">
        <v>0</v>
      </c>
      <c r="T69" s="232">
        <v>0</v>
      </c>
      <c r="U69" s="233">
        <v>0</v>
      </c>
      <c r="V69" s="234">
        <v>0</v>
      </c>
      <c r="W69" s="233">
        <v>0</v>
      </c>
      <c r="X69" s="233">
        <v>0</v>
      </c>
      <c r="Y69" s="233">
        <v>0</v>
      </c>
      <c r="Z69" s="234">
        <v>0</v>
      </c>
      <c r="AA69" s="233">
        <v>0</v>
      </c>
      <c r="AB69" s="233">
        <v>0</v>
      </c>
      <c r="AC69" s="233">
        <v>0</v>
      </c>
      <c r="AD69" s="234">
        <v>3574</v>
      </c>
      <c r="AE69" s="233">
        <v>55364</v>
      </c>
      <c r="AF69" s="233">
        <v>56583</v>
      </c>
      <c r="AG69" s="233">
        <v>80620</v>
      </c>
      <c r="AH69" s="234">
        <v>70269</v>
      </c>
      <c r="AI69" s="233">
        <v>0</v>
      </c>
      <c r="AJ69" s="233">
        <v>0</v>
      </c>
      <c r="AK69" s="233">
        <v>0</v>
      </c>
      <c r="AL69" s="234">
        <v>0</v>
      </c>
      <c r="AM69" s="233">
        <v>0</v>
      </c>
    </row>
    <row r="70" spans="1:39" s="209" customFormat="1">
      <c r="A70" s="235" t="s">
        <v>376</v>
      </c>
      <c r="B70" s="233"/>
      <c r="C70" s="233"/>
      <c r="D70" s="234"/>
      <c r="E70" s="233"/>
      <c r="F70" s="233"/>
      <c r="G70" s="233"/>
      <c r="H70" s="234"/>
      <c r="I70" s="233"/>
      <c r="J70" s="233"/>
      <c r="K70" s="233"/>
      <c r="L70" s="233"/>
      <c r="M70" s="233"/>
      <c r="N70" s="234"/>
      <c r="O70" s="233"/>
      <c r="P70" s="233"/>
      <c r="Q70" s="233"/>
      <c r="R70" s="234"/>
      <c r="S70" s="233"/>
      <c r="T70" s="232"/>
      <c r="U70" s="233"/>
      <c r="V70" s="234"/>
      <c r="W70" s="233"/>
      <c r="X70" s="233"/>
      <c r="Y70" s="233"/>
      <c r="Z70" s="234"/>
      <c r="AA70" s="233"/>
      <c r="AB70" s="233"/>
      <c r="AC70" s="233"/>
      <c r="AD70" s="234"/>
      <c r="AE70" s="233"/>
      <c r="AF70" s="233"/>
      <c r="AG70" s="233"/>
      <c r="AH70" s="234"/>
      <c r="AI70" s="233">
        <v>10000</v>
      </c>
      <c r="AJ70" s="233"/>
      <c r="AK70" s="233"/>
      <c r="AL70" s="234"/>
      <c r="AM70" s="233">
        <v>14914</v>
      </c>
    </row>
    <row r="71" spans="1:39" s="209" customFormat="1">
      <c r="A71" s="235" t="s">
        <v>377</v>
      </c>
      <c r="B71" s="233"/>
      <c r="C71" s="233"/>
      <c r="D71" s="234"/>
      <c r="E71" s="233"/>
      <c r="F71" s="233"/>
      <c r="G71" s="233"/>
      <c r="H71" s="234"/>
      <c r="I71" s="233"/>
      <c r="J71" s="233"/>
      <c r="K71" s="233"/>
      <c r="L71" s="233"/>
      <c r="M71" s="233"/>
      <c r="N71" s="234"/>
      <c r="O71" s="233"/>
      <c r="P71" s="233"/>
      <c r="Q71" s="233"/>
      <c r="R71" s="234"/>
      <c r="S71" s="233"/>
      <c r="T71" s="232"/>
      <c r="U71" s="233"/>
      <c r="V71" s="234"/>
      <c r="W71" s="233"/>
      <c r="X71" s="233"/>
      <c r="Y71" s="233"/>
      <c r="Z71" s="234"/>
      <c r="AA71" s="233"/>
      <c r="AB71" s="233"/>
      <c r="AC71" s="233"/>
      <c r="AD71" s="234"/>
      <c r="AE71" s="233"/>
      <c r="AF71" s="233"/>
      <c r="AG71" s="233"/>
      <c r="AH71" s="234"/>
      <c r="AI71" s="233">
        <v>-4130</v>
      </c>
      <c r="AJ71" s="233"/>
      <c r="AK71" s="233"/>
      <c r="AL71" s="234">
        <v>42539</v>
      </c>
      <c r="AM71" s="233">
        <v>-11103</v>
      </c>
    </row>
    <row r="72" spans="1:39" s="209" customFormat="1" ht="27.6">
      <c r="A72" s="235" t="s">
        <v>196</v>
      </c>
      <c r="B72" s="233"/>
      <c r="C72" s="233"/>
      <c r="D72" s="234"/>
      <c r="E72" s="233"/>
      <c r="F72" s="233"/>
      <c r="G72" s="233"/>
      <c r="H72" s="234"/>
      <c r="I72" s="233"/>
      <c r="J72" s="233"/>
      <c r="K72" s="233"/>
      <c r="L72" s="233"/>
      <c r="M72" s="233"/>
      <c r="N72" s="234">
        <v>0</v>
      </c>
      <c r="O72" s="233"/>
      <c r="P72" s="233"/>
      <c r="Q72" s="233"/>
      <c r="R72" s="234">
        <v>0</v>
      </c>
      <c r="S72" s="233"/>
      <c r="T72" s="232"/>
      <c r="U72" s="233"/>
      <c r="V72" s="234">
        <v>0</v>
      </c>
      <c r="W72" s="233">
        <v>0</v>
      </c>
      <c r="X72" s="233">
        <v>0</v>
      </c>
      <c r="Y72" s="233">
        <v>0</v>
      </c>
      <c r="Z72" s="234">
        <v>0</v>
      </c>
      <c r="AA72" s="233">
        <v>0</v>
      </c>
      <c r="AB72" s="233">
        <v>0</v>
      </c>
      <c r="AC72" s="233">
        <v>0</v>
      </c>
      <c r="AD72" s="234">
        <v>-309305</v>
      </c>
      <c r="AE72" s="233">
        <v>0</v>
      </c>
      <c r="AF72" s="233">
        <v>0</v>
      </c>
      <c r="AG72" s="233"/>
      <c r="AH72" s="234"/>
      <c r="AI72" s="233">
        <v>0</v>
      </c>
      <c r="AJ72" s="233">
        <v>0</v>
      </c>
      <c r="AK72" s="233">
        <v>0</v>
      </c>
      <c r="AL72" s="234">
        <v>-42546</v>
      </c>
      <c r="AM72" s="233">
        <v>0</v>
      </c>
    </row>
    <row r="73" spans="1:39" s="209" customFormat="1">
      <c r="A73" s="235" t="s">
        <v>197</v>
      </c>
      <c r="B73" s="233"/>
      <c r="C73" s="233"/>
      <c r="D73" s="234"/>
      <c r="E73" s="233"/>
      <c r="F73" s="233"/>
      <c r="G73" s="233"/>
      <c r="H73" s="234"/>
      <c r="I73" s="233"/>
      <c r="J73" s="233"/>
      <c r="K73" s="233"/>
      <c r="L73" s="233"/>
      <c r="M73" s="233"/>
      <c r="N73" s="234">
        <v>0</v>
      </c>
      <c r="O73" s="233"/>
      <c r="P73" s="233"/>
      <c r="Q73" s="233"/>
      <c r="R73" s="234">
        <v>0</v>
      </c>
      <c r="S73" s="233"/>
      <c r="T73" s="232"/>
      <c r="U73" s="233"/>
      <c r="V73" s="234">
        <v>0</v>
      </c>
      <c r="W73" s="233">
        <v>0</v>
      </c>
      <c r="X73" s="233">
        <v>0</v>
      </c>
      <c r="Y73" s="233">
        <v>0</v>
      </c>
      <c r="Z73" s="234">
        <v>0</v>
      </c>
      <c r="AA73" s="233">
        <v>0</v>
      </c>
      <c r="AB73" s="233">
        <v>0</v>
      </c>
      <c r="AC73" s="233">
        <v>-58607</v>
      </c>
      <c r="AD73" s="234">
        <v>-71184</v>
      </c>
      <c r="AE73" s="233">
        <v>0</v>
      </c>
      <c r="AF73" s="233">
        <v>0</v>
      </c>
      <c r="AG73" s="233">
        <v>-4712</v>
      </c>
      <c r="AH73" s="234">
        <v>-4712</v>
      </c>
      <c r="AI73" s="244">
        <v>-3633</v>
      </c>
      <c r="AJ73" s="233">
        <v>-11858</v>
      </c>
      <c r="AK73" s="233">
        <v>-11858</v>
      </c>
      <c r="AL73" s="234">
        <v>-11858</v>
      </c>
      <c r="AM73" s="233">
        <v>0</v>
      </c>
    </row>
    <row r="74" spans="1:39" s="209" customFormat="1">
      <c r="A74" s="235" t="s">
        <v>387</v>
      </c>
      <c r="B74" s="233"/>
      <c r="C74" s="233"/>
      <c r="D74" s="234"/>
      <c r="E74" s="233"/>
      <c r="F74" s="233"/>
      <c r="G74" s="233"/>
      <c r="H74" s="234"/>
      <c r="I74" s="233"/>
      <c r="J74" s="233"/>
      <c r="K74" s="233"/>
      <c r="L74" s="233"/>
      <c r="M74" s="233"/>
      <c r="N74" s="234"/>
      <c r="O74" s="233"/>
      <c r="P74" s="233"/>
      <c r="Q74" s="233"/>
      <c r="R74" s="234"/>
      <c r="S74" s="233"/>
      <c r="T74" s="232"/>
      <c r="U74" s="233"/>
      <c r="V74" s="234"/>
      <c r="W74" s="233"/>
      <c r="X74" s="233"/>
      <c r="Y74" s="233"/>
      <c r="Z74" s="234"/>
      <c r="AA74" s="233"/>
      <c r="AB74" s="233"/>
      <c r="AC74" s="233"/>
      <c r="AD74" s="234"/>
      <c r="AE74" s="233"/>
      <c r="AF74" s="233"/>
      <c r="AG74" s="233"/>
      <c r="AH74" s="234"/>
      <c r="AI74" s="233">
        <v>-34204</v>
      </c>
      <c r="AJ74" s="233"/>
      <c r="AK74" s="233"/>
      <c r="AL74" s="234"/>
      <c r="AM74" s="233"/>
    </row>
    <row r="75" spans="1:39" s="209" customFormat="1" ht="27.6">
      <c r="A75" s="235" t="s">
        <v>198</v>
      </c>
      <c r="B75" s="233"/>
      <c r="C75" s="233">
        <v>-32647</v>
      </c>
      <c r="D75" s="234">
        <v>-39316</v>
      </c>
      <c r="E75" s="233">
        <v>-2947</v>
      </c>
      <c r="F75" s="233">
        <v>-6043</v>
      </c>
      <c r="G75" s="233">
        <v>-9053</v>
      </c>
      <c r="H75" s="234">
        <v>-12651</v>
      </c>
      <c r="I75" s="233">
        <v>-4153</v>
      </c>
      <c r="J75" s="233">
        <v>-8417</v>
      </c>
      <c r="K75" s="233">
        <v>-12922</v>
      </c>
      <c r="L75" s="233"/>
      <c r="M75" s="233">
        <v>-25021</v>
      </c>
      <c r="N75" s="234">
        <v>-27955</v>
      </c>
      <c r="O75" s="233">
        <v>-2947</v>
      </c>
      <c r="P75" s="233">
        <v>-6043</v>
      </c>
      <c r="Q75" s="233">
        <v>-9053</v>
      </c>
      <c r="R75" s="234">
        <v>-12651</v>
      </c>
      <c r="S75" s="233">
        <v>-10498</v>
      </c>
      <c r="T75" s="232">
        <v>-21248</v>
      </c>
      <c r="U75" s="233">
        <v>-32996</v>
      </c>
      <c r="V75" s="234">
        <v>-53678</v>
      </c>
      <c r="W75" s="233">
        <v>-15343</v>
      </c>
      <c r="X75" s="233">
        <v>-29040</v>
      </c>
      <c r="Y75" s="233">
        <v>-37283</v>
      </c>
      <c r="Z75" s="234">
        <v>-45973</v>
      </c>
      <c r="AA75" s="233">
        <v>-8142</v>
      </c>
      <c r="AB75" s="233">
        <v>-18076</v>
      </c>
      <c r="AC75" s="233">
        <v>-28512</v>
      </c>
      <c r="AD75" s="234">
        <v>-37186</v>
      </c>
      <c r="AE75" s="233">
        <f>-7544-22675</f>
        <v>-30219</v>
      </c>
      <c r="AF75" s="233">
        <f>-15007-46202</f>
        <v>-61209</v>
      </c>
      <c r="AG75" s="233">
        <f>-22829-59209</f>
        <v>-82038</v>
      </c>
      <c r="AH75" s="234">
        <f>-66471-30717</f>
        <v>-97188</v>
      </c>
      <c r="AI75" s="233">
        <v>-7745</v>
      </c>
      <c r="AJ75" s="233">
        <f>-44775-32991</f>
        <v>-77766</v>
      </c>
      <c r="AK75" s="233">
        <f>-48529-106657</f>
        <v>-155186</v>
      </c>
      <c r="AL75" s="234">
        <f>-48529-83787</f>
        <v>-132316</v>
      </c>
      <c r="AM75" s="233">
        <v>-8656</v>
      </c>
    </row>
    <row r="76" spans="1:39" s="165" customFormat="1">
      <c r="A76" s="161" t="s">
        <v>199</v>
      </c>
      <c r="B76" s="166"/>
      <c r="C76" s="163">
        <f>SUM(C48:C75)</f>
        <v>482569</v>
      </c>
      <c r="D76" s="164">
        <f>SUM(D48:D75)</f>
        <v>475727</v>
      </c>
      <c r="E76" s="163">
        <f>SUM(E48:E75)</f>
        <v>-13387</v>
      </c>
      <c r="F76" s="163">
        <v>-23274</v>
      </c>
      <c r="G76" s="163">
        <v>-1005</v>
      </c>
      <c r="H76" s="164">
        <v>-1910</v>
      </c>
      <c r="I76" s="163">
        <f>SUM(I48:I75)</f>
        <v>19582</v>
      </c>
      <c r="J76" s="163">
        <f>SUM(J48:J75)</f>
        <v>12736</v>
      </c>
      <c r="K76" s="163">
        <f>SUM(K48:K75)</f>
        <v>39854</v>
      </c>
      <c r="L76" s="166"/>
      <c r="M76" s="163">
        <f t="shared" ref="M76:W76" si="7">SUM(M48:M75)</f>
        <v>443412</v>
      </c>
      <c r="N76" s="164">
        <f t="shared" si="7"/>
        <v>436413</v>
      </c>
      <c r="O76" s="163">
        <f t="shared" si="7"/>
        <v>-13413</v>
      </c>
      <c r="P76" s="163">
        <f t="shared" si="7"/>
        <v>-23330</v>
      </c>
      <c r="Q76" s="163">
        <f t="shared" si="7"/>
        <v>-1321</v>
      </c>
      <c r="R76" s="164">
        <f t="shared" si="7"/>
        <v>-2605</v>
      </c>
      <c r="S76" s="163">
        <f t="shared" si="7"/>
        <v>19530</v>
      </c>
      <c r="T76" s="163">
        <f t="shared" si="7"/>
        <v>12358</v>
      </c>
      <c r="U76" s="163">
        <f t="shared" si="7"/>
        <v>39268</v>
      </c>
      <c r="V76" s="164">
        <f t="shared" si="7"/>
        <v>59139</v>
      </c>
      <c r="W76" s="163">
        <f t="shared" si="7"/>
        <v>114088</v>
      </c>
      <c r="X76" s="163">
        <v>74203</v>
      </c>
      <c r="Y76" s="163">
        <v>66905</v>
      </c>
      <c r="Z76" s="164">
        <f t="shared" ref="Z76:AI76" si="8">SUM(Z48:Z75)</f>
        <v>63362</v>
      </c>
      <c r="AA76" s="163">
        <f t="shared" si="8"/>
        <v>19736</v>
      </c>
      <c r="AB76" s="163">
        <f t="shared" si="8"/>
        <v>23662</v>
      </c>
      <c r="AC76" s="163">
        <f t="shared" si="8"/>
        <v>177995</v>
      </c>
      <c r="AD76" s="164">
        <f t="shared" si="8"/>
        <v>98651</v>
      </c>
      <c r="AE76" s="163">
        <f t="shared" si="8"/>
        <v>86417</v>
      </c>
      <c r="AF76" s="163">
        <f t="shared" si="8"/>
        <v>31627</v>
      </c>
      <c r="AG76" s="163">
        <f t="shared" si="8"/>
        <v>101487</v>
      </c>
      <c r="AH76" s="164">
        <f t="shared" si="8"/>
        <v>106639</v>
      </c>
      <c r="AI76" s="163">
        <f t="shared" si="8"/>
        <v>63783</v>
      </c>
      <c r="AJ76" s="163">
        <f>SUM(AJ48:AJ75)</f>
        <v>33495</v>
      </c>
      <c r="AK76" s="163">
        <f>SUM(AK48:AK75)</f>
        <v>8441</v>
      </c>
      <c r="AL76" s="164">
        <f>SUM(AL48:AL75)</f>
        <v>624</v>
      </c>
      <c r="AM76" s="163">
        <f>SUM(AM48:AM75)</f>
        <v>-3547</v>
      </c>
    </row>
    <row r="77" spans="1:39" s="209" customFormat="1">
      <c r="A77" s="235" t="s">
        <v>200</v>
      </c>
      <c r="B77" s="180"/>
      <c r="C77" s="237">
        <v>335</v>
      </c>
      <c r="D77" s="238">
        <v>429</v>
      </c>
      <c r="E77" s="237">
        <v>55</v>
      </c>
      <c r="F77" s="237">
        <v>-410</v>
      </c>
      <c r="G77" s="237">
        <v>-554</v>
      </c>
      <c r="H77" s="238">
        <v>122</v>
      </c>
      <c r="I77" s="237">
        <v>-32</v>
      </c>
      <c r="J77" s="237">
        <v>111</v>
      </c>
      <c r="K77" s="237">
        <v>-29</v>
      </c>
      <c r="L77" s="180"/>
      <c r="M77" s="237">
        <v>335</v>
      </c>
      <c r="N77" s="238">
        <v>429</v>
      </c>
      <c r="O77" s="237">
        <v>55</v>
      </c>
      <c r="P77" s="237">
        <v>-410</v>
      </c>
      <c r="Q77" s="237">
        <v>-555</v>
      </c>
      <c r="R77" s="238">
        <v>122</v>
      </c>
      <c r="S77" s="237">
        <v>-32</v>
      </c>
      <c r="T77" s="237">
        <v>111</v>
      </c>
      <c r="U77" s="237">
        <v>-29</v>
      </c>
      <c r="V77" s="238">
        <v>139</v>
      </c>
      <c r="W77" s="237">
        <v>-216</v>
      </c>
      <c r="X77" s="237">
        <v>1</v>
      </c>
      <c r="Y77" s="237">
        <v>619</v>
      </c>
      <c r="Z77" s="238">
        <v>1191</v>
      </c>
      <c r="AA77" s="237">
        <v>-101</v>
      </c>
      <c r="AB77" s="237">
        <v>-51</v>
      </c>
      <c r="AC77" s="237">
        <v>-78</v>
      </c>
      <c r="AD77" s="238">
        <v>-105</v>
      </c>
      <c r="AE77" s="237">
        <v>-50</v>
      </c>
      <c r="AF77" s="237">
        <v>-404</v>
      </c>
      <c r="AG77" s="237">
        <v>-1054</v>
      </c>
      <c r="AH77" s="238">
        <v>-700</v>
      </c>
      <c r="AI77" s="237">
        <v>140</v>
      </c>
      <c r="AJ77" s="237">
        <v>145</v>
      </c>
      <c r="AK77" s="237">
        <v>-53</v>
      </c>
      <c r="AL77" s="238">
        <v>-12</v>
      </c>
      <c r="AM77" s="237">
        <v>82</v>
      </c>
    </row>
    <row r="78" spans="1:39" s="165" customFormat="1">
      <c r="A78" s="161" t="s">
        <v>201</v>
      </c>
      <c r="B78" s="166"/>
      <c r="C78" s="162">
        <v>30436</v>
      </c>
      <c r="D78" s="167">
        <v>47237</v>
      </c>
      <c r="E78" s="162">
        <v>-42057</v>
      </c>
      <c r="F78" s="162">
        <v>5382</v>
      </c>
      <c r="G78" s="162">
        <v>-31842</v>
      </c>
      <c r="H78" s="167">
        <v>-37635</v>
      </c>
      <c r="I78" s="162">
        <v>-30594</v>
      </c>
      <c r="J78" s="162">
        <v>-20428</v>
      </c>
      <c r="K78" s="162">
        <v>-28629</v>
      </c>
      <c r="L78" s="166"/>
      <c r="M78" s="162">
        <f t="shared" ref="M78:W78" si="9">M34+M45+M76+M77</f>
        <v>30436</v>
      </c>
      <c r="N78" s="167">
        <f t="shared" si="9"/>
        <v>47237</v>
      </c>
      <c r="O78" s="162">
        <f t="shared" si="9"/>
        <v>-42058</v>
      </c>
      <c r="P78" s="162">
        <f t="shared" si="9"/>
        <v>5382</v>
      </c>
      <c r="Q78" s="162">
        <f t="shared" si="9"/>
        <v>-31842</v>
      </c>
      <c r="R78" s="167">
        <f t="shared" si="9"/>
        <v>-37635</v>
      </c>
      <c r="S78" s="162">
        <f t="shared" si="9"/>
        <v>-30594</v>
      </c>
      <c r="T78" s="162">
        <f t="shared" si="9"/>
        <v>-20428</v>
      </c>
      <c r="U78" s="162">
        <f t="shared" si="9"/>
        <v>-28629</v>
      </c>
      <c r="V78" s="167">
        <f t="shared" si="9"/>
        <v>-29755</v>
      </c>
      <c r="W78" s="162">
        <f t="shared" si="9"/>
        <v>108477</v>
      </c>
      <c r="X78" s="162">
        <v>77828</v>
      </c>
      <c r="Y78" s="162">
        <v>29109</v>
      </c>
      <c r="Z78" s="167">
        <f t="shared" ref="Z78:AI78" si="10">Z34+Z45+Z76+Z77</f>
        <v>56210</v>
      </c>
      <c r="AA78" s="162">
        <f t="shared" si="10"/>
        <v>-46571</v>
      </c>
      <c r="AB78" s="162">
        <f t="shared" si="10"/>
        <v>-22445</v>
      </c>
      <c r="AC78" s="162">
        <f t="shared" si="10"/>
        <v>100680</v>
      </c>
      <c r="AD78" s="167">
        <f t="shared" si="10"/>
        <v>-22249</v>
      </c>
      <c r="AE78" s="162">
        <f t="shared" si="10"/>
        <v>33915</v>
      </c>
      <c r="AF78" s="162">
        <f t="shared" si="10"/>
        <v>45117</v>
      </c>
      <c r="AG78" s="162">
        <f t="shared" si="10"/>
        <v>-3257</v>
      </c>
      <c r="AH78" s="167">
        <f t="shared" si="10"/>
        <v>-2993</v>
      </c>
      <c r="AI78" s="162">
        <f t="shared" si="10"/>
        <v>5752</v>
      </c>
      <c r="AJ78" s="162">
        <f>AJ34+AJ45+AJ76+AJ77</f>
        <v>8443</v>
      </c>
      <c r="AK78" s="162">
        <f>AK34+AK45+AK76+AK77</f>
        <v>427</v>
      </c>
      <c r="AL78" s="167">
        <f>AL34+AL45+AL76+AL77</f>
        <v>22086</v>
      </c>
      <c r="AM78" s="162">
        <f>AM34+AM45+AM76+AM77</f>
        <v>-33129</v>
      </c>
    </row>
    <row r="79" spans="1:39" s="209" customFormat="1" ht="15" customHeight="1">
      <c r="A79" s="235" t="s">
        <v>202</v>
      </c>
      <c r="B79" s="180"/>
      <c r="C79" s="233"/>
      <c r="D79" s="234"/>
      <c r="E79" s="233"/>
      <c r="F79" s="233"/>
      <c r="G79" s="233"/>
      <c r="H79" s="234"/>
      <c r="I79" s="233"/>
      <c r="J79" s="233"/>
      <c r="K79" s="233"/>
      <c r="L79" s="180"/>
      <c r="M79" s="233"/>
      <c r="N79" s="234"/>
      <c r="O79" s="233"/>
      <c r="P79" s="233"/>
      <c r="Q79" s="233"/>
      <c r="R79" s="234"/>
      <c r="S79" s="233"/>
      <c r="T79" s="233"/>
      <c r="U79" s="233"/>
      <c r="V79" s="234"/>
      <c r="W79" s="233"/>
      <c r="X79" s="233"/>
      <c r="Y79" s="233"/>
      <c r="Z79" s="234"/>
      <c r="AA79" s="233"/>
      <c r="AB79" s="233"/>
      <c r="AC79" s="233"/>
      <c r="AD79" s="234"/>
      <c r="AE79" s="233"/>
      <c r="AF79" s="233"/>
      <c r="AG79" s="233"/>
      <c r="AH79" s="234"/>
      <c r="AI79" s="233"/>
      <c r="AJ79" s="233"/>
      <c r="AK79" s="233"/>
      <c r="AL79" s="234"/>
      <c r="AM79" s="233"/>
    </row>
    <row r="80" spans="1:39" s="209" customFormat="1" ht="15" customHeight="1">
      <c r="A80" s="239" t="s">
        <v>203</v>
      </c>
      <c r="B80" s="233"/>
      <c r="C80" s="233">
        <v>34252</v>
      </c>
      <c r="D80" s="234">
        <v>34252</v>
      </c>
      <c r="E80" s="233">
        <v>81489</v>
      </c>
      <c r="F80" s="233">
        <v>81489</v>
      </c>
      <c r="G80" s="233">
        <v>81489</v>
      </c>
      <c r="H80" s="234">
        <v>81489</v>
      </c>
      <c r="I80" s="233">
        <v>43854</v>
      </c>
      <c r="J80" s="233">
        <v>43854</v>
      </c>
      <c r="K80" s="233">
        <v>43854</v>
      </c>
      <c r="L80" s="233"/>
      <c r="M80" s="233">
        <v>34253</v>
      </c>
      <c r="N80" s="234">
        <v>34252</v>
      </c>
      <c r="O80" s="233">
        <v>81489</v>
      </c>
      <c r="P80" s="233">
        <v>81489</v>
      </c>
      <c r="Q80" s="233">
        <v>81489</v>
      </c>
      <c r="R80" s="234">
        <v>81489</v>
      </c>
      <c r="S80" s="233">
        <v>43854</v>
      </c>
      <c r="T80" s="233">
        <v>43854</v>
      </c>
      <c r="U80" s="233">
        <v>43854</v>
      </c>
      <c r="V80" s="234">
        <v>43854</v>
      </c>
      <c r="W80" s="233">
        <v>14099</v>
      </c>
      <c r="X80" s="233">
        <v>14099</v>
      </c>
      <c r="Y80" s="233">
        <v>14099</v>
      </c>
      <c r="Z80" s="234">
        <v>14099</v>
      </c>
      <c r="AA80" s="233">
        <v>70309</v>
      </c>
      <c r="AB80" s="233">
        <v>70309</v>
      </c>
      <c r="AC80" s="233">
        <v>70309</v>
      </c>
      <c r="AD80" s="234">
        <v>70309</v>
      </c>
      <c r="AE80" s="233">
        <v>48060</v>
      </c>
      <c r="AF80" s="233">
        <v>48060</v>
      </c>
      <c r="AG80" s="233">
        <v>48060</v>
      </c>
      <c r="AH80" s="234">
        <f>AD81</f>
        <v>48060</v>
      </c>
      <c r="AI80" s="233">
        <v>45067</v>
      </c>
      <c r="AJ80" s="233">
        <f>AI80</f>
        <v>45067</v>
      </c>
      <c r="AK80" s="233">
        <v>45067</v>
      </c>
      <c r="AL80" s="234">
        <v>45067</v>
      </c>
      <c r="AM80" s="233">
        <f>AL81</f>
        <v>67153</v>
      </c>
    </row>
    <row r="81" spans="1:39" s="165" customFormat="1" ht="15" customHeight="1" thickBot="1">
      <c r="A81" s="161" t="s">
        <v>204</v>
      </c>
      <c r="B81" s="162" t="s">
        <v>45</v>
      </c>
      <c r="C81" s="240">
        <v>64689</v>
      </c>
      <c r="D81" s="241">
        <v>81489</v>
      </c>
      <c r="E81" s="240">
        <v>39432</v>
      </c>
      <c r="F81" s="240">
        <v>86871</v>
      </c>
      <c r="G81" s="240">
        <v>49647</v>
      </c>
      <c r="H81" s="241">
        <v>43854</v>
      </c>
      <c r="I81" s="240">
        <v>13260</v>
      </c>
      <c r="J81" s="240">
        <v>23426</v>
      </c>
      <c r="K81" s="240">
        <v>15225</v>
      </c>
      <c r="L81" s="162"/>
      <c r="M81" s="240">
        <f t="shared" ref="M81:W81" si="11">M78+M80</f>
        <v>64689</v>
      </c>
      <c r="N81" s="241">
        <f t="shared" si="11"/>
        <v>81489</v>
      </c>
      <c r="O81" s="240">
        <f t="shared" si="11"/>
        <v>39431</v>
      </c>
      <c r="P81" s="240">
        <f t="shared" si="11"/>
        <v>86871</v>
      </c>
      <c r="Q81" s="240">
        <f t="shared" si="11"/>
        <v>49647</v>
      </c>
      <c r="R81" s="241">
        <f t="shared" si="11"/>
        <v>43854</v>
      </c>
      <c r="S81" s="240">
        <f t="shared" si="11"/>
        <v>13260</v>
      </c>
      <c r="T81" s="240">
        <f t="shared" si="11"/>
        <v>23426</v>
      </c>
      <c r="U81" s="240">
        <f t="shared" si="11"/>
        <v>15225</v>
      </c>
      <c r="V81" s="241">
        <f t="shared" si="11"/>
        <v>14099</v>
      </c>
      <c r="W81" s="240">
        <f t="shared" si="11"/>
        <v>122576</v>
      </c>
      <c r="X81" s="240">
        <v>91927</v>
      </c>
      <c r="Y81" s="240">
        <v>43208</v>
      </c>
      <c r="Z81" s="241">
        <f t="shared" ref="Z81:AK81" si="12">Z78+Z80</f>
        <v>70309</v>
      </c>
      <c r="AA81" s="240">
        <f t="shared" si="12"/>
        <v>23738</v>
      </c>
      <c r="AB81" s="240">
        <f t="shared" si="12"/>
        <v>47864</v>
      </c>
      <c r="AC81" s="240">
        <f t="shared" si="12"/>
        <v>170989</v>
      </c>
      <c r="AD81" s="241">
        <f t="shared" si="12"/>
        <v>48060</v>
      </c>
      <c r="AE81" s="240">
        <f t="shared" si="12"/>
        <v>81975</v>
      </c>
      <c r="AF81" s="240">
        <f t="shared" si="12"/>
        <v>93177</v>
      </c>
      <c r="AG81" s="240">
        <f t="shared" si="12"/>
        <v>44803</v>
      </c>
      <c r="AH81" s="241">
        <f t="shared" si="12"/>
        <v>45067</v>
      </c>
      <c r="AI81" s="240">
        <f t="shared" si="12"/>
        <v>50819</v>
      </c>
      <c r="AJ81" s="240">
        <f t="shared" si="12"/>
        <v>53510</v>
      </c>
      <c r="AK81" s="240">
        <f t="shared" si="12"/>
        <v>45494</v>
      </c>
      <c r="AL81" s="241">
        <f t="shared" ref="AL81:AM81" si="13">AL78+AL80</f>
        <v>67153</v>
      </c>
      <c r="AM81" s="240">
        <f t="shared" si="13"/>
        <v>34024</v>
      </c>
    </row>
    <row r="82" spans="1:39" s="209" customFormat="1" ht="13.5" customHeight="1" thickTop="1">
      <c r="A82" s="161" t="s">
        <v>205</v>
      </c>
      <c r="B82" s="180"/>
      <c r="C82" s="242"/>
      <c r="D82" s="243"/>
      <c r="E82" s="242"/>
      <c r="F82" s="242"/>
      <c r="G82" s="242"/>
      <c r="H82" s="243"/>
      <c r="I82" s="242"/>
      <c r="J82" s="242"/>
      <c r="K82" s="242"/>
      <c r="L82" s="180"/>
      <c r="M82" s="242"/>
      <c r="N82" s="243"/>
      <c r="O82" s="242"/>
      <c r="P82" s="242"/>
      <c r="Q82" s="242"/>
      <c r="R82" s="243"/>
      <c r="S82" s="242"/>
      <c r="T82" s="242"/>
      <c r="U82" s="242"/>
      <c r="V82" s="243"/>
      <c r="W82" s="242"/>
      <c r="X82" s="242"/>
      <c r="Y82" s="242"/>
      <c r="Z82" s="243"/>
      <c r="AA82" s="242"/>
      <c r="AB82" s="242"/>
      <c r="AC82" s="242"/>
      <c r="AD82" s="243"/>
      <c r="AE82" s="242"/>
      <c r="AF82" s="242"/>
      <c r="AG82" s="242"/>
      <c r="AH82" s="243"/>
      <c r="AI82" s="242"/>
      <c r="AJ82" s="242"/>
      <c r="AK82" s="242"/>
      <c r="AL82" s="243"/>
      <c r="AM82" s="242"/>
    </row>
    <row r="83" spans="1:39" s="209" customFormat="1" ht="14.25" customHeight="1">
      <c r="A83" s="235" t="s">
        <v>206</v>
      </c>
      <c r="B83" s="233" t="s">
        <v>45</v>
      </c>
      <c r="C83" s="233">
        <v>2673</v>
      </c>
      <c r="D83" s="234">
        <v>5711</v>
      </c>
      <c r="E83" s="233">
        <v>1053</v>
      </c>
      <c r="F83" s="233">
        <v>3864</v>
      </c>
      <c r="G83" s="233">
        <v>5296</v>
      </c>
      <c r="H83" s="234">
        <v>7827</v>
      </c>
      <c r="I83" s="233">
        <v>1356</v>
      </c>
      <c r="J83" s="233">
        <v>5181</v>
      </c>
      <c r="K83" s="233">
        <v>6981</v>
      </c>
      <c r="L83" s="233"/>
      <c r="M83" s="233">
        <v>2673</v>
      </c>
      <c r="N83" s="234">
        <v>5711</v>
      </c>
      <c r="O83" s="233">
        <v>1053</v>
      </c>
      <c r="P83" s="233">
        <v>3864</v>
      </c>
      <c r="Q83" s="233">
        <v>5296</v>
      </c>
      <c r="R83" s="234">
        <v>7827</v>
      </c>
      <c r="S83" s="233">
        <v>1356</v>
      </c>
      <c r="T83" s="233">
        <v>5181</v>
      </c>
      <c r="U83" s="233">
        <v>6981</v>
      </c>
      <c r="V83" s="234">
        <v>7881.62</v>
      </c>
      <c r="W83" s="233">
        <v>623</v>
      </c>
      <c r="X83" s="233">
        <v>1339.1019999999999</v>
      </c>
      <c r="Y83" s="233">
        <v>2767</v>
      </c>
      <c r="Z83" s="234">
        <v>2695</v>
      </c>
      <c r="AA83" s="233">
        <v>1510</v>
      </c>
      <c r="AB83" s="233">
        <v>1994</v>
      </c>
      <c r="AC83" s="233">
        <v>2766</v>
      </c>
      <c r="AD83" s="234">
        <v>3765</v>
      </c>
      <c r="AE83" s="233">
        <v>1486</v>
      </c>
      <c r="AF83" s="233">
        <v>4453</v>
      </c>
      <c r="AG83" s="233">
        <v>5267</v>
      </c>
      <c r="AH83" s="234">
        <v>5790</v>
      </c>
      <c r="AI83" s="233">
        <v>1147</v>
      </c>
      <c r="AJ83" s="233">
        <v>2898</v>
      </c>
      <c r="AK83" s="233">
        <v>3369</v>
      </c>
      <c r="AL83" s="234">
        <v>5494</v>
      </c>
      <c r="AM83" s="233">
        <v>594</v>
      </c>
    </row>
    <row r="84" spans="1:39" s="209" customFormat="1" ht="12.75" customHeight="1">
      <c r="A84" s="235" t="s">
        <v>207</v>
      </c>
      <c r="B84" s="233"/>
      <c r="C84" s="233">
        <v>60347</v>
      </c>
      <c r="D84" s="234">
        <v>69622</v>
      </c>
      <c r="E84" s="233">
        <v>66192</v>
      </c>
      <c r="F84" s="233">
        <v>76353</v>
      </c>
      <c r="G84" s="233">
        <v>136396</v>
      </c>
      <c r="H84" s="234">
        <v>146076</v>
      </c>
      <c r="I84" s="233">
        <v>60573</v>
      </c>
      <c r="J84" s="233">
        <v>71240</v>
      </c>
      <c r="K84" s="233">
        <v>131773</v>
      </c>
      <c r="L84" s="233"/>
      <c r="M84" s="233">
        <v>60347</v>
      </c>
      <c r="N84" s="234">
        <v>69622</v>
      </c>
      <c r="O84" s="233">
        <v>66192</v>
      </c>
      <c r="P84" s="233">
        <v>76353</v>
      </c>
      <c r="Q84" s="233">
        <v>136396</v>
      </c>
      <c r="R84" s="234">
        <v>146076</v>
      </c>
      <c r="S84" s="233">
        <v>60573</v>
      </c>
      <c r="T84" s="233">
        <v>71211</v>
      </c>
      <c r="U84" s="233">
        <v>131744</v>
      </c>
      <c r="V84" s="234">
        <v>144456</v>
      </c>
      <c r="W84" s="233">
        <v>61852</v>
      </c>
      <c r="X84" s="233">
        <v>76780.635631080484</v>
      </c>
      <c r="Y84" s="233">
        <v>140751</v>
      </c>
      <c r="Z84" s="234">
        <v>152678</v>
      </c>
      <c r="AA84" s="233">
        <v>62510</v>
      </c>
      <c r="AB84" s="233">
        <v>75136</v>
      </c>
      <c r="AC84" s="233">
        <v>137862</v>
      </c>
      <c r="AD84" s="234">
        <v>188802</v>
      </c>
      <c r="AE84" s="233">
        <v>9941</v>
      </c>
      <c r="AF84" s="233">
        <v>19103</v>
      </c>
      <c r="AG84" s="233">
        <v>93405</v>
      </c>
      <c r="AH84" s="234">
        <v>98602</v>
      </c>
      <c r="AI84" s="233">
        <v>65300</v>
      </c>
      <c r="AJ84" s="233">
        <v>72608</v>
      </c>
      <c r="AK84" s="233">
        <v>80156</v>
      </c>
      <c r="AL84" s="234">
        <v>111835</v>
      </c>
      <c r="AM84" s="233">
        <v>30674</v>
      </c>
    </row>
    <row r="85" spans="1:39" s="209" customFormat="1" ht="13.5" customHeight="1">
      <c r="A85" s="161" t="s">
        <v>208</v>
      </c>
      <c r="B85" s="233"/>
      <c r="C85" s="233"/>
      <c r="D85" s="234"/>
      <c r="E85" s="233"/>
      <c r="F85" s="233"/>
      <c r="G85" s="233"/>
      <c r="H85" s="234"/>
      <c r="I85" s="233"/>
      <c r="J85" s="233"/>
      <c r="K85" s="233"/>
      <c r="L85" s="233"/>
      <c r="M85" s="233" t="s">
        <v>19</v>
      </c>
      <c r="N85" s="234"/>
      <c r="O85" s="233"/>
      <c r="P85" s="233"/>
      <c r="Q85" s="233"/>
      <c r="R85" s="234"/>
      <c r="S85" s="233"/>
      <c r="T85" s="233"/>
      <c r="U85" s="233"/>
      <c r="V85" s="234"/>
      <c r="W85" s="233"/>
      <c r="X85" s="233"/>
      <c r="Y85" s="233"/>
      <c r="Z85" s="234"/>
      <c r="AA85" s="233"/>
      <c r="AB85" s="233"/>
      <c r="AC85" s="233"/>
      <c r="AD85" s="234"/>
      <c r="AE85" s="233"/>
      <c r="AF85" s="233"/>
      <c r="AG85" s="233"/>
      <c r="AH85" s="234"/>
      <c r="AI85" s="233"/>
      <c r="AJ85" s="233"/>
      <c r="AK85" s="233"/>
      <c r="AL85" s="234"/>
      <c r="AM85" s="233"/>
    </row>
    <row r="86" spans="1:39" s="209" customFormat="1">
      <c r="A86" s="235" t="s">
        <v>209</v>
      </c>
      <c r="B86" s="168"/>
      <c r="C86" s="233">
        <v>2080</v>
      </c>
      <c r="D86" s="234">
        <v>6973</v>
      </c>
      <c r="E86" s="233">
        <v>4432</v>
      </c>
      <c r="F86" s="233">
        <v>7787</v>
      </c>
      <c r="G86" s="233">
        <v>9318</v>
      </c>
      <c r="H86" s="234">
        <v>14920</v>
      </c>
      <c r="I86" s="233">
        <v>4097</v>
      </c>
      <c r="J86" s="233">
        <v>6778</v>
      </c>
      <c r="K86" s="233">
        <v>9352</v>
      </c>
      <c r="L86" s="168"/>
      <c r="M86" s="233">
        <v>2080</v>
      </c>
      <c r="N86" s="234">
        <v>6973</v>
      </c>
      <c r="O86" s="233">
        <v>4432</v>
      </c>
      <c r="P86" s="233">
        <v>7787</v>
      </c>
      <c r="Q86" s="233">
        <v>9318</v>
      </c>
      <c r="R86" s="234">
        <v>14920</v>
      </c>
      <c r="S86" s="233">
        <v>4097</v>
      </c>
      <c r="T86" s="233">
        <v>6778</v>
      </c>
      <c r="U86" s="233">
        <v>9352</v>
      </c>
      <c r="V86" s="234">
        <v>10732</v>
      </c>
      <c r="W86" s="233">
        <v>270</v>
      </c>
      <c r="X86" s="233">
        <v>772.06929489423328</v>
      </c>
      <c r="Y86" s="233">
        <v>2472</v>
      </c>
      <c r="Z86" s="234">
        <v>4372</v>
      </c>
      <c r="AA86" s="233">
        <v>220</v>
      </c>
      <c r="AB86" s="233">
        <v>2159</v>
      </c>
      <c r="AC86" s="233">
        <v>2754</v>
      </c>
      <c r="AD86" s="234">
        <v>3270</v>
      </c>
      <c r="AE86" s="233">
        <v>50</v>
      </c>
      <c r="AF86" s="233">
        <v>231</v>
      </c>
      <c r="AG86" s="233">
        <v>958</v>
      </c>
      <c r="AH86" s="234">
        <v>4790</v>
      </c>
      <c r="AI86" s="233">
        <v>405</v>
      </c>
      <c r="AJ86" s="233">
        <v>405</v>
      </c>
      <c r="AK86" s="233">
        <v>405</v>
      </c>
      <c r="AL86" s="234">
        <v>405</v>
      </c>
      <c r="AM86" s="233">
        <v>491</v>
      </c>
    </row>
    <row r="87" spans="1:39" s="209" customFormat="1">
      <c r="A87" s="235" t="s">
        <v>355</v>
      </c>
      <c r="B87" s="168"/>
      <c r="C87" s="233"/>
      <c r="D87" s="234"/>
      <c r="E87" s="233"/>
      <c r="F87" s="233"/>
      <c r="G87" s="233"/>
      <c r="H87" s="234"/>
      <c r="I87" s="233"/>
      <c r="J87" s="233"/>
      <c r="K87" s="233"/>
      <c r="L87" s="168"/>
      <c r="M87" s="233"/>
      <c r="N87" s="234"/>
      <c r="O87" s="233"/>
      <c r="P87" s="233"/>
      <c r="Q87" s="233"/>
      <c r="R87" s="234"/>
      <c r="S87" s="233"/>
      <c r="T87" s="233"/>
      <c r="U87" s="233"/>
      <c r="V87" s="234"/>
      <c r="W87" s="233"/>
      <c r="X87" s="233"/>
      <c r="Y87" s="233"/>
      <c r="Z87" s="234"/>
      <c r="AA87" s="233"/>
      <c r="AB87" s="233"/>
      <c r="AC87" s="233"/>
      <c r="AD87" s="234"/>
      <c r="AE87" s="233"/>
      <c r="AF87" s="233"/>
      <c r="AG87" s="233"/>
      <c r="AH87" s="234"/>
      <c r="AI87" s="233"/>
      <c r="AJ87" s="233"/>
      <c r="AK87" s="233">
        <v>764800</v>
      </c>
      <c r="AL87" s="234">
        <v>764800</v>
      </c>
      <c r="AM87" s="233">
        <v>0</v>
      </c>
    </row>
    <row r="88" spans="1:39" s="209" customFormat="1">
      <c r="A88" s="235" t="s">
        <v>354</v>
      </c>
      <c r="B88" s="168"/>
      <c r="C88" s="233"/>
      <c r="D88" s="234"/>
      <c r="E88" s="233"/>
      <c r="F88" s="233"/>
      <c r="G88" s="233"/>
      <c r="H88" s="234"/>
      <c r="I88" s="233"/>
      <c r="J88" s="233"/>
      <c r="K88" s="233"/>
      <c r="L88" s="168"/>
      <c r="M88" s="233"/>
      <c r="N88" s="234"/>
      <c r="O88" s="233"/>
      <c r="P88" s="233"/>
      <c r="Q88" s="233"/>
      <c r="R88" s="234"/>
      <c r="S88" s="233"/>
      <c r="T88" s="233"/>
      <c r="U88" s="233"/>
      <c r="V88" s="234"/>
      <c r="W88" s="233"/>
      <c r="X88" s="233"/>
      <c r="Y88" s="233"/>
      <c r="Z88" s="234"/>
      <c r="AA88" s="233"/>
      <c r="AB88" s="233"/>
      <c r="AC88" s="233"/>
      <c r="AD88" s="234"/>
      <c r="AE88" s="233"/>
      <c r="AF88" s="233"/>
      <c r="AG88" s="233"/>
      <c r="AH88" s="234"/>
      <c r="AI88" s="233"/>
      <c r="AJ88" s="233"/>
      <c r="AK88" s="233">
        <v>2963</v>
      </c>
      <c r="AL88" s="234">
        <v>2963</v>
      </c>
      <c r="AM88" s="233">
        <v>0</v>
      </c>
    </row>
    <row r="89" spans="1:39" s="209" customFormat="1">
      <c r="A89" s="235" t="s">
        <v>353</v>
      </c>
      <c r="B89" s="168"/>
      <c r="C89" s="233"/>
      <c r="D89" s="234"/>
      <c r="E89" s="233"/>
      <c r="F89" s="233"/>
      <c r="G89" s="233"/>
      <c r="H89" s="234"/>
      <c r="I89" s="233"/>
      <c r="J89" s="233"/>
      <c r="K89" s="233"/>
      <c r="L89" s="168"/>
      <c r="M89" s="233"/>
      <c r="N89" s="234"/>
      <c r="O89" s="233"/>
      <c r="P89" s="233"/>
      <c r="Q89" s="233"/>
      <c r="R89" s="234"/>
      <c r="S89" s="233"/>
      <c r="T89" s="233"/>
      <c r="U89" s="233"/>
      <c r="V89" s="234"/>
      <c r="W89" s="233"/>
      <c r="X89" s="233"/>
      <c r="Y89" s="233"/>
      <c r="Z89" s="234"/>
      <c r="AA89" s="233"/>
      <c r="AB89" s="233"/>
      <c r="AC89" s="233"/>
      <c r="AD89" s="234"/>
      <c r="AE89" s="233"/>
      <c r="AF89" s="233"/>
      <c r="AG89" s="233"/>
      <c r="AH89" s="234"/>
      <c r="AI89" s="233"/>
      <c r="AJ89" s="233"/>
      <c r="AK89" s="233">
        <v>44146</v>
      </c>
      <c r="AL89" s="234">
        <v>44146</v>
      </c>
      <c r="AM89" s="233">
        <v>23342</v>
      </c>
    </row>
    <row r="90" spans="1:39" s="209" customFormat="1" ht="27.6">
      <c r="A90" s="235" t="s">
        <v>390</v>
      </c>
      <c r="B90" s="168"/>
      <c r="C90" s="233"/>
      <c r="D90" s="234"/>
      <c r="E90" s="233"/>
      <c r="F90" s="233"/>
      <c r="G90" s="233"/>
      <c r="H90" s="234"/>
      <c r="I90" s="233"/>
      <c r="J90" s="233"/>
      <c r="K90" s="233"/>
      <c r="L90" s="168"/>
      <c r="M90" s="233"/>
      <c r="N90" s="234"/>
      <c r="O90" s="233"/>
      <c r="P90" s="233"/>
      <c r="Q90" s="233"/>
      <c r="R90" s="234"/>
      <c r="S90" s="233"/>
      <c r="T90" s="233"/>
      <c r="U90" s="233"/>
      <c r="V90" s="234"/>
      <c r="W90" s="233"/>
      <c r="X90" s="233"/>
      <c r="Y90" s="233"/>
      <c r="Z90" s="234"/>
      <c r="AA90" s="233"/>
      <c r="AB90" s="233"/>
      <c r="AC90" s="233"/>
      <c r="AD90" s="234"/>
      <c r="AE90" s="233"/>
      <c r="AF90" s="233"/>
      <c r="AG90" s="233"/>
      <c r="AH90" s="234"/>
      <c r="AI90" s="233"/>
      <c r="AJ90" s="233"/>
      <c r="AK90" s="233"/>
      <c r="AL90" s="234">
        <v>0</v>
      </c>
      <c r="AM90" s="233">
        <v>1000</v>
      </c>
    </row>
    <row r="91" spans="1:39" s="209" customFormat="1">
      <c r="A91" s="235" t="s">
        <v>210</v>
      </c>
      <c r="B91" s="233"/>
      <c r="C91" s="233">
        <v>74</v>
      </c>
      <c r="D91" s="234">
        <v>146</v>
      </c>
      <c r="E91" s="233">
        <v>0</v>
      </c>
      <c r="F91" s="233">
        <v>1540</v>
      </c>
      <c r="G91" s="233">
        <v>1565</v>
      </c>
      <c r="H91" s="234">
        <v>1565</v>
      </c>
      <c r="I91" s="233">
        <v>0</v>
      </c>
      <c r="J91" s="233">
        <v>0</v>
      </c>
      <c r="K91" s="233">
        <v>0</v>
      </c>
      <c r="L91" s="233"/>
      <c r="M91" s="233">
        <v>74</v>
      </c>
      <c r="N91" s="234">
        <v>146</v>
      </c>
      <c r="O91" s="233">
        <v>0</v>
      </c>
      <c r="P91" s="233">
        <v>1540</v>
      </c>
      <c r="Q91" s="233">
        <v>1565</v>
      </c>
      <c r="R91" s="234">
        <v>1565</v>
      </c>
      <c r="S91" s="233">
        <v>0</v>
      </c>
      <c r="T91" s="233">
        <v>0</v>
      </c>
      <c r="U91" s="233">
        <v>0</v>
      </c>
      <c r="V91" s="234">
        <v>0</v>
      </c>
      <c r="W91" s="233">
        <v>0</v>
      </c>
      <c r="X91" s="233">
        <v>0</v>
      </c>
      <c r="Y91" s="233">
        <v>0</v>
      </c>
      <c r="Z91" s="234">
        <v>0</v>
      </c>
      <c r="AA91" s="233">
        <v>0</v>
      </c>
      <c r="AB91" s="233">
        <v>125</v>
      </c>
      <c r="AC91" s="233">
        <v>125</v>
      </c>
      <c r="AD91" s="234">
        <v>125</v>
      </c>
      <c r="AE91" s="233">
        <v>0</v>
      </c>
      <c r="AF91" s="233">
        <v>0</v>
      </c>
      <c r="AG91" s="233">
        <v>0</v>
      </c>
      <c r="AH91" s="234">
        <v>0</v>
      </c>
      <c r="AI91" s="233">
        <v>0</v>
      </c>
      <c r="AJ91" s="233">
        <v>0</v>
      </c>
      <c r="AK91" s="233">
        <v>0</v>
      </c>
      <c r="AL91" s="234">
        <v>0</v>
      </c>
      <c r="AM91" s="233">
        <v>0</v>
      </c>
    </row>
    <row r="92" spans="1:39" s="209" customFormat="1">
      <c r="A92" s="235" t="s">
        <v>211</v>
      </c>
      <c r="B92" s="168"/>
      <c r="C92" s="233">
        <v>244800</v>
      </c>
      <c r="D92" s="234">
        <v>244800</v>
      </c>
      <c r="E92" s="233">
        <v>0</v>
      </c>
      <c r="F92" s="233">
        <v>0</v>
      </c>
      <c r="G92" s="233">
        <v>0</v>
      </c>
      <c r="H92" s="234">
        <v>0</v>
      </c>
      <c r="I92" s="233">
        <v>0</v>
      </c>
      <c r="J92" s="233">
        <v>0</v>
      </c>
      <c r="K92" s="233">
        <v>0</v>
      </c>
      <c r="L92" s="172"/>
      <c r="M92" s="233">
        <v>244800</v>
      </c>
      <c r="N92" s="234">
        <v>244800</v>
      </c>
      <c r="O92" s="233">
        <v>0</v>
      </c>
      <c r="P92" s="233">
        <v>0</v>
      </c>
      <c r="Q92" s="233">
        <v>0</v>
      </c>
      <c r="R92" s="234">
        <v>0</v>
      </c>
      <c r="S92" s="233">
        <v>0</v>
      </c>
      <c r="T92" s="233">
        <v>0</v>
      </c>
      <c r="U92" s="233">
        <v>0</v>
      </c>
      <c r="V92" s="234">
        <v>0</v>
      </c>
      <c r="W92" s="233">
        <v>0</v>
      </c>
      <c r="X92" s="233">
        <v>0</v>
      </c>
      <c r="Y92" s="233">
        <v>0</v>
      </c>
      <c r="Z92" s="234">
        <v>0</v>
      </c>
      <c r="AA92" s="233">
        <v>0</v>
      </c>
      <c r="AB92" s="233">
        <v>0</v>
      </c>
      <c r="AC92" s="233">
        <v>0</v>
      </c>
      <c r="AD92" s="234">
        <v>0</v>
      </c>
      <c r="AE92" s="233">
        <v>0</v>
      </c>
      <c r="AF92" s="233">
        <v>0</v>
      </c>
      <c r="AG92" s="233">
        <v>0</v>
      </c>
      <c r="AH92" s="234">
        <v>0</v>
      </c>
      <c r="AI92" s="233">
        <v>0</v>
      </c>
      <c r="AJ92" s="233">
        <v>0</v>
      </c>
      <c r="AK92" s="233">
        <v>0</v>
      </c>
      <c r="AL92" s="234">
        <v>0</v>
      </c>
      <c r="AM92" s="233">
        <v>0</v>
      </c>
    </row>
    <row r="93" spans="1:39" s="209" customFormat="1">
      <c r="A93" s="235" t="s">
        <v>334</v>
      </c>
      <c r="B93" s="168"/>
      <c r="C93" s="233"/>
      <c r="D93" s="234"/>
      <c r="E93" s="233"/>
      <c r="F93" s="233"/>
      <c r="G93" s="233"/>
      <c r="H93" s="234"/>
      <c r="I93" s="233"/>
      <c r="J93" s="233"/>
      <c r="K93" s="233"/>
      <c r="L93" s="172"/>
      <c r="M93" s="233">
        <v>0</v>
      </c>
      <c r="N93" s="234">
        <v>0</v>
      </c>
      <c r="O93" s="233">
        <v>0</v>
      </c>
      <c r="P93" s="233">
        <v>0</v>
      </c>
      <c r="Q93" s="233">
        <v>0</v>
      </c>
      <c r="R93" s="234">
        <v>0</v>
      </c>
      <c r="S93" s="233">
        <v>0</v>
      </c>
      <c r="T93" s="233">
        <v>0</v>
      </c>
      <c r="U93" s="233">
        <v>0</v>
      </c>
      <c r="V93" s="234">
        <v>0</v>
      </c>
      <c r="W93" s="233">
        <v>0</v>
      </c>
      <c r="X93" s="233">
        <v>0</v>
      </c>
      <c r="Y93" s="233">
        <v>0</v>
      </c>
      <c r="Z93" s="234">
        <v>0</v>
      </c>
      <c r="AA93" s="233">
        <v>0</v>
      </c>
      <c r="AB93" s="233">
        <v>0</v>
      </c>
      <c r="AC93" s="233">
        <v>0</v>
      </c>
      <c r="AD93" s="234">
        <v>0</v>
      </c>
      <c r="AE93" s="233">
        <v>0</v>
      </c>
      <c r="AF93" s="233">
        <v>0</v>
      </c>
      <c r="AG93" s="233">
        <v>0</v>
      </c>
      <c r="AH93" s="234">
        <v>6</v>
      </c>
      <c r="AI93" s="233">
        <v>0</v>
      </c>
      <c r="AJ93" s="233">
        <v>0</v>
      </c>
      <c r="AK93" s="233">
        <v>0</v>
      </c>
      <c r="AL93" s="234">
        <v>0</v>
      </c>
      <c r="AM93" s="233">
        <v>0</v>
      </c>
    </row>
    <row r="94" spans="1:39" s="209" customFormat="1">
      <c r="A94" s="235" t="s">
        <v>335</v>
      </c>
      <c r="B94" s="168"/>
      <c r="C94" s="233"/>
      <c r="D94" s="234"/>
      <c r="E94" s="233"/>
      <c r="F94" s="233"/>
      <c r="G94" s="233"/>
      <c r="H94" s="234"/>
      <c r="I94" s="233"/>
      <c r="J94" s="233"/>
      <c r="K94" s="233"/>
      <c r="L94" s="172"/>
      <c r="M94" s="233">
        <v>0</v>
      </c>
      <c r="N94" s="234">
        <v>0</v>
      </c>
      <c r="O94" s="233">
        <v>0</v>
      </c>
      <c r="P94" s="233">
        <v>0</v>
      </c>
      <c r="Q94" s="233">
        <v>0</v>
      </c>
      <c r="R94" s="234">
        <v>0</v>
      </c>
      <c r="S94" s="233">
        <v>0</v>
      </c>
      <c r="T94" s="233">
        <v>0</v>
      </c>
      <c r="U94" s="233">
        <v>0</v>
      </c>
      <c r="V94" s="234">
        <v>0</v>
      </c>
      <c r="W94" s="233">
        <v>0</v>
      </c>
      <c r="X94" s="233">
        <v>0</v>
      </c>
      <c r="Y94" s="233">
        <v>0</v>
      </c>
      <c r="Z94" s="234">
        <v>0</v>
      </c>
      <c r="AA94" s="233">
        <v>0</v>
      </c>
      <c r="AB94" s="233">
        <v>0</v>
      </c>
      <c r="AC94" s="233">
        <v>0</v>
      </c>
      <c r="AD94" s="234">
        <v>0</v>
      </c>
      <c r="AE94" s="233">
        <v>0</v>
      </c>
      <c r="AF94" s="233">
        <v>0</v>
      </c>
      <c r="AG94" s="233">
        <v>0</v>
      </c>
      <c r="AH94" s="234">
        <v>10351</v>
      </c>
      <c r="AI94" s="233">
        <v>0</v>
      </c>
      <c r="AJ94" s="233">
        <v>0</v>
      </c>
      <c r="AK94" s="233">
        <v>0</v>
      </c>
      <c r="AL94" s="234">
        <v>0</v>
      </c>
      <c r="AM94" s="233">
        <v>0</v>
      </c>
    </row>
    <row r="95" spans="1:39" s="209" customFormat="1">
      <c r="A95" s="235" t="s">
        <v>212</v>
      </c>
      <c r="B95" s="233"/>
      <c r="C95" s="233">
        <v>3512</v>
      </c>
      <c r="D95" s="234">
        <v>1621</v>
      </c>
      <c r="E95" s="233">
        <v>1101</v>
      </c>
      <c r="F95" s="233">
        <v>1144</v>
      </c>
      <c r="G95" s="233">
        <v>1994</v>
      </c>
      <c r="H95" s="234">
        <v>2820</v>
      </c>
      <c r="I95" s="233">
        <v>809</v>
      </c>
      <c r="J95" s="233">
        <v>1083</v>
      </c>
      <c r="K95" s="233">
        <v>1083</v>
      </c>
      <c r="L95" s="233"/>
      <c r="M95" s="233">
        <v>3512</v>
      </c>
      <c r="N95" s="234">
        <v>1621</v>
      </c>
      <c r="O95" s="233">
        <v>1101</v>
      </c>
      <c r="P95" s="233">
        <v>1144</v>
      </c>
      <c r="Q95" s="233">
        <v>1994</v>
      </c>
      <c r="R95" s="234">
        <v>2820</v>
      </c>
      <c r="S95" s="233">
        <v>809</v>
      </c>
      <c r="T95" s="233">
        <v>1083</v>
      </c>
      <c r="U95" s="233">
        <v>2388</v>
      </c>
      <c r="V95" s="234">
        <v>1402</v>
      </c>
      <c r="W95" s="233">
        <v>1565</v>
      </c>
      <c r="X95" s="233">
        <v>1088.30359</v>
      </c>
      <c r="Y95" s="233">
        <v>1699</v>
      </c>
      <c r="Z95" s="234">
        <v>2124</v>
      </c>
      <c r="AA95" s="233">
        <v>1617</v>
      </c>
      <c r="AB95" s="233">
        <v>1505</v>
      </c>
      <c r="AC95" s="233">
        <v>2495</v>
      </c>
      <c r="AD95" s="234">
        <v>1652</v>
      </c>
      <c r="AE95" s="233">
        <v>1483</v>
      </c>
      <c r="AF95" s="233">
        <v>1400</v>
      </c>
      <c r="AG95" s="233">
        <v>1916</v>
      </c>
      <c r="AH95" s="234">
        <v>1851</v>
      </c>
      <c r="AI95" s="233">
        <v>1945</v>
      </c>
      <c r="AJ95" s="233">
        <v>2167</v>
      </c>
      <c r="AK95" s="233">
        <v>1778</v>
      </c>
      <c r="AL95" s="234">
        <v>2261</v>
      </c>
      <c r="AM95" s="233">
        <v>494</v>
      </c>
    </row>
    <row r="96" spans="1:39" s="209" customFormat="1">
      <c r="A96" s="235" t="s">
        <v>213</v>
      </c>
      <c r="B96" s="168"/>
      <c r="C96" s="233">
        <v>16375</v>
      </c>
      <c r="D96" s="234">
        <v>16375</v>
      </c>
      <c r="E96" s="233">
        <v>0</v>
      </c>
      <c r="F96" s="233">
        <v>0</v>
      </c>
      <c r="G96" s="233">
        <v>0</v>
      </c>
      <c r="H96" s="234">
        <v>0</v>
      </c>
      <c r="I96" s="233">
        <v>0</v>
      </c>
      <c r="J96" s="233">
        <v>0</v>
      </c>
      <c r="K96" s="233">
        <v>0</v>
      </c>
      <c r="L96" s="172"/>
      <c r="M96" s="233">
        <v>16375</v>
      </c>
      <c r="N96" s="234">
        <v>16375</v>
      </c>
      <c r="O96" s="233">
        <v>0</v>
      </c>
      <c r="P96" s="233">
        <v>0</v>
      </c>
      <c r="Q96" s="233">
        <v>0</v>
      </c>
      <c r="R96" s="234">
        <v>0</v>
      </c>
      <c r="S96" s="233">
        <v>0</v>
      </c>
      <c r="T96" s="233">
        <v>0</v>
      </c>
      <c r="U96" s="233">
        <v>0</v>
      </c>
      <c r="V96" s="234">
        <v>0</v>
      </c>
      <c r="W96" s="233">
        <v>0</v>
      </c>
      <c r="X96" s="233">
        <v>0</v>
      </c>
      <c r="Y96" s="233">
        <v>0</v>
      </c>
      <c r="Z96" s="234">
        <v>0</v>
      </c>
      <c r="AA96" s="233">
        <v>0</v>
      </c>
      <c r="AB96" s="233">
        <v>0</v>
      </c>
      <c r="AC96" s="233">
        <v>0</v>
      </c>
      <c r="AD96" s="234">
        <v>0</v>
      </c>
      <c r="AE96" s="233">
        <v>0</v>
      </c>
      <c r="AF96" s="233">
        <v>0</v>
      </c>
      <c r="AG96" s="233">
        <v>0</v>
      </c>
      <c r="AH96" s="234">
        <v>0</v>
      </c>
      <c r="AI96" s="233">
        <v>0</v>
      </c>
      <c r="AJ96" s="233">
        <v>0</v>
      </c>
      <c r="AK96" s="233">
        <v>0</v>
      </c>
      <c r="AL96" s="234">
        <v>0</v>
      </c>
      <c r="AM96" s="233">
        <v>0</v>
      </c>
    </row>
    <row r="97" spans="1:39" s="209" customFormat="1">
      <c r="A97" s="235" t="s">
        <v>214</v>
      </c>
      <c r="B97" s="233"/>
      <c r="C97" s="233">
        <v>4672</v>
      </c>
      <c r="D97" s="234">
        <v>4672</v>
      </c>
      <c r="E97" s="233">
        <v>0</v>
      </c>
      <c r="F97" s="233">
        <v>0</v>
      </c>
      <c r="G97" s="233">
        <v>0</v>
      </c>
      <c r="H97" s="234">
        <v>0</v>
      </c>
      <c r="I97" s="233">
        <v>0</v>
      </c>
      <c r="J97" s="233">
        <v>0</v>
      </c>
      <c r="K97" s="233">
        <v>0</v>
      </c>
      <c r="L97" s="233"/>
      <c r="M97" s="233">
        <v>4698</v>
      </c>
      <c r="N97" s="234">
        <v>4698</v>
      </c>
      <c r="O97" s="233">
        <v>0</v>
      </c>
      <c r="P97" s="233">
        <v>0</v>
      </c>
      <c r="Q97" s="233">
        <v>0</v>
      </c>
      <c r="R97" s="234">
        <v>0</v>
      </c>
      <c r="S97" s="233">
        <v>0</v>
      </c>
      <c r="T97" s="233">
        <v>0</v>
      </c>
      <c r="U97" s="233">
        <v>0</v>
      </c>
      <c r="V97" s="234">
        <v>0</v>
      </c>
      <c r="W97" s="233">
        <v>0</v>
      </c>
      <c r="X97" s="233">
        <v>0</v>
      </c>
      <c r="Y97" s="233">
        <v>0</v>
      </c>
      <c r="Z97" s="234">
        <v>0</v>
      </c>
      <c r="AA97" s="233">
        <v>0</v>
      </c>
      <c r="AB97" s="233">
        <v>0</v>
      </c>
      <c r="AC97" s="233">
        <v>0</v>
      </c>
      <c r="AD97" s="234">
        <v>0</v>
      </c>
      <c r="AE97" s="233">
        <v>0</v>
      </c>
      <c r="AF97" s="233">
        <v>0</v>
      </c>
      <c r="AG97" s="233">
        <v>0</v>
      </c>
      <c r="AH97" s="234">
        <v>0</v>
      </c>
      <c r="AI97" s="233">
        <v>0</v>
      </c>
      <c r="AJ97" s="233">
        <v>0</v>
      </c>
      <c r="AK97" s="233">
        <v>0</v>
      </c>
      <c r="AL97" s="234">
        <v>0</v>
      </c>
      <c r="AM97" s="233">
        <v>0</v>
      </c>
    </row>
    <row r="98" spans="1:39" s="209" customFormat="1">
      <c r="A98" s="235" t="s">
        <v>215</v>
      </c>
      <c r="B98" s="168"/>
      <c r="C98" s="233">
        <v>0</v>
      </c>
      <c r="D98" s="234">
        <v>0</v>
      </c>
      <c r="E98" s="233">
        <v>0</v>
      </c>
      <c r="F98" s="233">
        <v>0</v>
      </c>
      <c r="G98" s="233">
        <v>0</v>
      </c>
      <c r="H98" s="234">
        <v>0</v>
      </c>
      <c r="I98" s="233">
        <v>0</v>
      </c>
      <c r="J98" s="233">
        <v>0</v>
      </c>
      <c r="K98" s="233">
        <v>0</v>
      </c>
      <c r="L98" s="172"/>
      <c r="M98" s="233">
        <v>0</v>
      </c>
      <c r="N98" s="234">
        <v>0</v>
      </c>
      <c r="O98" s="233">
        <v>0</v>
      </c>
      <c r="P98" s="233">
        <v>0</v>
      </c>
      <c r="Q98" s="233">
        <v>0</v>
      </c>
      <c r="R98" s="234">
        <v>0</v>
      </c>
      <c r="S98" s="233">
        <v>0</v>
      </c>
      <c r="T98" s="233">
        <v>0</v>
      </c>
      <c r="U98" s="233">
        <v>0</v>
      </c>
      <c r="V98" s="234">
        <v>0</v>
      </c>
      <c r="W98" s="233">
        <v>0</v>
      </c>
      <c r="X98" s="233">
        <v>1287</v>
      </c>
      <c r="Y98" s="233">
        <v>1287</v>
      </c>
      <c r="Z98" s="234">
        <v>1287</v>
      </c>
      <c r="AA98" s="233">
        <v>0</v>
      </c>
      <c r="AB98" s="233">
        <v>0</v>
      </c>
      <c r="AC98" s="233">
        <v>0</v>
      </c>
      <c r="AD98" s="234">
        <v>0</v>
      </c>
      <c r="AE98" s="233">
        <v>0</v>
      </c>
      <c r="AF98" s="233">
        <v>0</v>
      </c>
      <c r="AG98" s="233">
        <v>0</v>
      </c>
      <c r="AH98" s="234">
        <v>0</v>
      </c>
      <c r="AI98" s="233">
        <v>0</v>
      </c>
      <c r="AJ98" s="233">
        <v>0</v>
      </c>
      <c r="AK98" s="233">
        <v>0</v>
      </c>
      <c r="AL98" s="234">
        <v>0</v>
      </c>
      <c r="AM98" s="233">
        <v>0</v>
      </c>
    </row>
    <row r="99" spans="1:39" s="209" customFormat="1">
      <c r="A99" s="168"/>
      <c r="B99" s="168"/>
      <c r="C99" s="245"/>
      <c r="D99" s="246"/>
      <c r="E99" s="245"/>
      <c r="F99" s="245"/>
      <c r="G99" s="245"/>
      <c r="H99" s="246"/>
      <c r="I99" s="245"/>
      <c r="J99" s="245"/>
      <c r="K99" s="245"/>
      <c r="L99" s="245"/>
      <c r="M99" s="245"/>
      <c r="N99" s="246"/>
      <c r="O99" s="245"/>
      <c r="P99" s="245"/>
      <c r="Q99" s="245"/>
      <c r="R99" s="246"/>
      <c r="S99" s="245"/>
      <c r="T99" s="245"/>
      <c r="U99" s="245"/>
      <c r="V99" s="246"/>
      <c r="W99" s="245"/>
      <c r="X99" s="245"/>
      <c r="Y99" s="245"/>
      <c r="Z99" s="246"/>
      <c r="AA99" s="245"/>
      <c r="AB99" s="245"/>
      <c r="AC99" s="245"/>
      <c r="AD99" s="246"/>
      <c r="AE99" s="245"/>
      <c r="AF99" s="245"/>
      <c r="AG99" s="245"/>
      <c r="AH99" s="246"/>
      <c r="AI99" s="245"/>
      <c r="AJ99" s="245"/>
      <c r="AK99" s="245"/>
      <c r="AL99" s="246"/>
      <c r="AM99" s="245"/>
    </row>
    <row r="100" spans="1:39" s="209" customFormat="1">
      <c r="A100" s="168"/>
      <c r="B100" s="168"/>
      <c r="C100" s="245"/>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s="209" customFormat="1">
      <c r="A101" s="168"/>
      <c r="B101" s="168"/>
      <c r="C101" s="245"/>
      <c r="D101" s="245"/>
      <c r="E101" s="245"/>
      <c r="F101" s="245"/>
      <c r="G101" s="245"/>
      <c r="H101" s="245"/>
      <c r="I101" s="245"/>
      <c r="J101" s="245"/>
      <c r="K101" s="245"/>
      <c r="L101" s="168"/>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s="248" customFormat="1">
      <c r="A102" s="73"/>
      <c r="B102" s="73"/>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row>
    <row r="103" spans="1:39" s="248" customFormat="1">
      <c r="A103" s="73"/>
      <c r="B103" s="73"/>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row>
    <row r="104" spans="1:39" s="248" customFormat="1">
      <c r="A104" s="73"/>
      <c r="B104" s="73"/>
      <c r="C104" s="249"/>
      <c r="D104" s="249"/>
      <c r="E104" s="249"/>
      <c r="F104" s="249"/>
      <c r="G104" s="249"/>
      <c r="H104" s="249"/>
      <c r="I104" s="249"/>
      <c r="J104" s="249"/>
      <c r="K104" s="249"/>
      <c r="L104" s="73"/>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row>
    <row r="105" spans="1:39" s="248" customFormat="1">
      <c r="A105" s="73"/>
      <c r="B105" s="73"/>
      <c r="C105" s="249"/>
      <c r="D105" s="249"/>
      <c r="E105" s="249"/>
      <c r="F105" s="249"/>
      <c r="G105" s="249"/>
      <c r="H105" s="249"/>
      <c r="I105" s="249"/>
      <c r="J105" s="249"/>
      <c r="K105" s="249"/>
      <c r="L105" s="73"/>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row>
    <row r="106" spans="1:39" s="248" customFormat="1">
      <c r="A106" s="73"/>
      <c r="B106" s="73"/>
      <c r="C106" s="249"/>
      <c r="D106" s="249"/>
      <c r="E106" s="249"/>
      <c r="F106" s="249"/>
      <c r="G106" s="249"/>
      <c r="H106" s="249"/>
      <c r="I106" s="249"/>
      <c r="J106" s="249"/>
      <c r="K106" s="249"/>
      <c r="L106" s="73"/>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row>
    <row r="107" spans="1:39" s="248" customFormat="1">
      <c r="A107" s="73"/>
      <c r="B107" s="73"/>
      <c r="C107" s="249"/>
      <c r="D107" s="250"/>
      <c r="E107" s="249"/>
      <c r="F107" s="249"/>
      <c r="G107" s="249"/>
      <c r="H107" s="250"/>
      <c r="I107" s="249"/>
      <c r="J107" s="249"/>
      <c r="K107" s="249"/>
      <c r="L107" s="73"/>
      <c r="M107" s="249"/>
      <c r="N107" s="250"/>
      <c r="O107" s="249"/>
      <c r="P107" s="249"/>
      <c r="Q107" s="249"/>
      <c r="R107" s="250"/>
      <c r="S107" s="249"/>
      <c r="T107" s="249"/>
      <c r="U107" s="249"/>
      <c r="V107" s="250"/>
      <c r="W107" s="249"/>
      <c r="X107" s="249"/>
      <c r="Y107" s="249"/>
      <c r="Z107" s="250"/>
      <c r="AA107" s="249"/>
      <c r="AB107" s="249"/>
      <c r="AC107" s="249"/>
      <c r="AD107" s="250"/>
      <c r="AE107" s="249"/>
      <c r="AF107" s="249"/>
      <c r="AG107" s="249"/>
      <c r="AH107" s="250"/>
      <c r="AI107" s="249"/>
      <c r="AJ107" s="249"/>
      <c r="AK107" s="249"/>
      <c r="AL107" s="250"/>
      <c r="AM107" s="249"/>
    </row>
    <row r="108" spans="1:39" s="248" customFormat="1">
      <c r="A108" s="73"/>
      <c r="B108" s="73"/>
      <c r="C108" s="249"/>
      <c r="D108" s="250"/>
      <c r="E108" s="249"/>
      <c r="F108" s="249"/>
      <c r="G108" s="249"/>
      <c r="H108" s="250"/>
      <c r="I108" s="249"/>
      <c r="J108" s="249"/>
      <c r="K108" s="249"/>
      <c r="L108" s="73"/>
      <c r="M108" s="249"/>
      <c r="N108" s="250"/>
      <c r="O108" s="249"/>
      <c r="P108" s="249"/>
      <c r="Q108" s="249"/>
      <c r="R108" s="250"/>
      <c r="S108" s="249"/>
      <c r="T108" s="249"/>
      <c r="U108" s="249"/>
      <c r="V108" s="250"/>
      <c r="W108" s="249"/>
      <c r="X108" s="249"/>
      <c r="Y108" s="249"/>
      <c r="Z108" s="250"/>
      <c r="AA108" s="249"/>
      <c r="AB108" s="249"/>
      <c r="AC108" s="249"/>
      <c r="AD108" s="250"/>
      <c r="AE108" s="249"/>
      <c r="AF108" s="249"/>
      <c r="AG108" s="249"/>
      <c r="AH108" s="250"/>
      <c r="AI108" s="249"/>
      <c r="AJ108" s="249"/>
      <c r="AK108" s="249"/>
      <c r="AL108" s="250"/>
      <c r="AM108" s="249"/>
    </row>
    <row r="109" spans="1:39">
      <c r="D109" s="64"/>
      <c r="H109" s="64"/>
      <c r="N109" s="64"/>
      <c r="R109" s="64"/>
      <c r="V109" s="64"/>
      <c r="Z109" s="64"/>
      <c r="AD109" s="64"/>
      <c r="AH109" s="64"/>
      <c r="AL109" s="64"/>
    </row>
    <row r="110" spans="1:39">
      <c r="D110" s="64"/>
      <c r="H110" s="64"/>
      <c r="N110" s="64"/>
      <c r="R110" s="64"/>
      <c r="V110" s="64"/>
      <c r="Z110" s="64"/>
      <c r="AD110" s="64"/>
      <c r="AH110" s="64"/>
      <c r="AL110" s="64"/>
    </row>
    <row r="111" spans="1:39">
      <c r="D111" s="64"/>
      <c r="H111" s="64"/>
      <c r="N111" s="64"/>
      <c r="R111" s="64"/>
      <c r="V111" s="64"/>
      <c r="Z111" s="64"/>
      <c r="AD111" s="64"/>
      <c r="AH111" s="64"/>
      <c r="AL111" s="64"/>
    </row>
    <row r="112" spans="1:39">
      <c r="D112" s="64"/>
      <c r="H112" s="64"/>
      <c r="N112" s="64"/>
      <c r="R112" s="64"/>
      <c r="V112" s="64"/>
      <c r="Z112" s="64"/>
      <c r="AD112" s="64"/>
      <c r="AH112" s="64"/>
      <c r="AL112" s="64"/>
    </row>
    <row r="113" spans="4:38">
      <c r="D113" s="64"/>
      <c r="H113" s="64"/>
      <c r="N113" s="64"/>
      <c r="R113" s="64"/>
      <c r="V113" s="64"/>
      <c r="Z113" s="64"/>
      <c r="AD113" s="64"/>
      <c r="AH113" s="64"/>
      <c r="AL113" s="64"/>
    </row>
    <row r="114" spans="4:38">
      <c r="D114" s="64"/>
      <c r="H114" s="64"/>
      <c r="N114" s="64"/>
      <c r="R114" s="64"/>
      <c r="V114" s="64"/>
      <c r="Z114" s="64"/>
      <c r="AD114" s="64"/>
      <c r="AH114" s="64"/>
      <c r="AL114" s="64"/>
    </row>
    <row r="115" spans="4:38">
      <c r="D115" s="64"/>
      <c r="H115" s="64"/>
      <c r="N115" s="64"/>
      <c r="R115" s="64"/>
      <c r="V115" s="64"/>
      <c r="Z115" s="64"/>
      <c r="AD115" s="64"/>
      <c r="AH115" s="64"/>
      <c r="AL115" s="64"/>
    </row>
    <row r="116" spans="4:38">
      <c r="D116" s="64"/>
      <c r="H116" s="64"/>
      <c r="N116" s="64"/>
      <c r="R116" s="64"/>
      <c r="V116" s="64"/>
      <c r="Z116" s="64"/>
      <c r="AD116" s="64"/>
      <c r="AH116" s="64"/>
      <c r="AL116" s="64"/>
    </row>
    <row r="117" spans="4:38">
      <c r="D117" s="64"/>
      <c r="H117" s="64"/>
      <c r="N117" s="64"/>
      <c r="R117" s="64"/>
      <c r="V117" s="64"/>
      <c r="Z117" s="64"/>
      <c r="AD117" s="64"/>
      <c r="AH117" s="64"/>
      <c r="AL117" s="64"/>
    </row>
    <row r="118" spans="4:38">
      <c r="D118" s="64"/>
      <c r="H118" s="64"/>
      <c r="N118" s="64"/>
      <c r="R118" s="64"/>
      <c r="V118" s="64"/>
      <c r="Z118" s="64"/>
      <c r="AD118" s="64"/>
      <c r="AH118" s="64"/>
      <c r="AL118" s="64"/>
    </row>
  </sheetData>
  <hyperlinks>
    <hyperlink ref="AK3" location="Contents!A1" display="Back"/>
    <hyperlink ref="AM3" location="Contents!A1" display="Back"/>
  </hyperlinks>
  <pageMargins left="0.25" right="0.25" top="0.75" bottom="0.75" header="0.3" footer="0.3"/>
  <pageSetup scale="37" orientation="landscape" r:id="rId1"/>
  <headerFooter>
    <oddFooter>&amp;A</oddFooter>
  </headerFooter>
  <rowBreaks count="2" manualBreakCount="2">
    <brk id="56" max="16383" man="1"/>
    <brk id="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Y91"/>
  <sheetViews>
    <sheetView showGridLines="0" zoomScale="80" zoomScaleNormal="80" workbookViewId="0">
      <selection activeCell="Q71" sqref="Q71"/>
    </sheetView>
  </sheetViews>
  <sheetFormatPr defaultColWidth="0" defaultRowHeight="14.4" zeroHeight="1"/>
  <cols>
    <col min="1" max="25" width="8.88671875" customWidth="1"/>
    <col min="26" max="16384" width="8.88671875" hidden="1"/>
  </cols>
  <sheetData>
    <row r="1" spans="24:24" ht="15.6">
      <c r="X1" s="21" t="s">
        <v>14</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0"/>
  <sheetViews>
    <sheetView showGridLines="0" zoomScale="90" zoomScaleNormal="90" workbookViewId="0">
      <selection activeCell="B9" sqref="B9"/>
    </sheetView>
  </sheetViews>
  <sheetFormatPr defaultColWidth="0" defaultRowHeight="0" customHeight="1" zeroHeight="1"/>
  <cols>
    <col min="1" max="1" width="4.44140625" style="2" customWidth="1"/>
    <col min="2" max="2" width="146.44140625" style="2" customWidth="1"/>
    <col min="3" max="3" width="4.44140625" style="2" customWidth="1"/>
    <col min="4" max="4" width="8.44140625" style="2" customWidth="1"/>
    <col min="5" max="16384" width="8.44140625" style="2" hidden="1"/>
  </cols>
  <sheetData>
    <row r="1" spans="1:4" ht="13.8">
      <c r="A1" s="1"/>
    </row>
    <row r="2" spans="1:4" ht="13.8">
      <c r="D2" s="51" t="s">
        <v>14</v>
      </c>
    </row>
    <row r="3" spans="1:4" ht="24.75" customHeight="1">
      <c r="B3" s="35" t="s">
        <v>216</v>
      </c>
    </row>
    <row r="4" spans="1:4" ht="13.8"/>
    <row r="5" spans="1:4" ht="62.4">
      <c r="B5" s="52" t="s">
        <v>217</v>
      </c>
    </row>
    <row r="6" spans="1:4" ht="46.8">
      <c r="B6" s="52" t="s">
        <v>218</v>
      </c>
    </row>
    <row r="7" spans="1:4" ht="62.4">
      <c r="B7" s="52" t="s">
        <v>219</v>
      </c>
    </row>
    <row r="8" spans="1:4" ht="13.8"/>
    <row r="9" spans="1:4" ht="13.8"/>
    <row r="10" spans="1:4" ht="13.8"/>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A1:BO43"/>
  <sheetViews>
    <sheetView showGridLines="0" zoomScale="90" zoomScaleNormal="90" zoomScaleSheetLayoutView="70" workbookViewId="0">
      <pane xSplit="30" ySplit="7" topLeftCell="AT8" activePane="bottomRight" state="frozen"/>
      <selection pane="topRight" activeCell="AE1" sqref="AE1"/>
      <selection pane="bottomLeft" activeCell="A8" sqref="A8"/>
      <selection pane="bottomRight" activeCell="AU19" sqref="AU19"/>
    </sheetView>
  </sheetViews>
  <sheetFormatPr defaultColWidth="12.44140625" defaultRowHeight="13.8" zeroHeight="1" outlineLevelCol="1"/>
  <cols>
    <col min="1" max="1" width="2.44140625" style="2" customWidth="1"/>
    <col min="2" max="2" width="50.109375" style="2" customWidth="1"/>
    <col min="3" max="13" width="10.44140625" style="2" hidden="1" customWidth="1" outlineLevel="1"/>
    <col min="14" max="14" width="0.44140625" style="2" hidden="1" customWidth="1" outlineLevel="1"/>
    <col min="15" max="16" width="1.44140625" style="2" hidden="1" customWidth="1" outlineLevel="1"/>
    <col min="17" max="17" width="12.44140625" style="2" hidden="1" customWidth="1" outlineLevel="1"/>
    <col min="18" max="18" width="1.44140625" style="2" hidden="1" customWidth="1" outlineLevel="1"/>
    <col min="19" max="19" width="13" style="2" hidden="1" customWidth="1" outlineLevel="1"/>
    <col min="20" max="20" width="1.44140625" style="2" hidden="1" customWidth="1" outlineLevel="1"/>
    <col min="21" max="21" width="13" style="2" hidden="1" customWidth="1" outlineLevel="1"/>
    <col min="22" max="22" width="3.44140625" style="2" hidden="1" customWidth="1" outlineLevel="1"/>
    <col min="23" max="23" width="11.44140625" style="2" hidden="1" customWidth="1" collapsed="1"/>
    <col min="24" max="26" width="11.44140625" style="2" hidden="1" customWidth="1"/>
    <col min="27" max="30" width="9.5546875" style="2" hidden="1" customWidth="1"/>
    <col min="31" max="42" width="9.5546875" style="2" hidden="1" customWidth="1" outlineLevel="1"/>
    <col min="43" max="43" width="9.5546875" style="2" customWidth="1" collapsed="1"/>
    <col min="44" max="51" width="9.5546875" style="2" customWidth="1"/>
    <col min="52" max="53" width="1.44140625" style="2" customWidth="1"/>
    <col min="54" max="59" width="11.109375" style="2" customWidth="1"/>
    <col min="60" max="62" width="11.109375" style="2" hidden="1" customWidth="1"/>
    <col min="63" max="63" width="12.44140625" style="2" customWidth="1"/>
    <col min="64" max="64" width="11.109375" style="2" customWidth="1"/>
    <col min="65" max="76" width="12.44140625" style="2" customWidth="1"/>
    <col min="77" max="16384" width="12.44140625" style="2"/>
  </cols>
  <sheetData>
    <row r="1" spans="1:64">
      <c r="A1" s="1"/>
      <c r="J1" s="2" t="s">
        <v>19</v>
      </c>
    </row>
    <row r="2" spans="1:64" ht="23.4">
      <c r="B2" s="42" t="s">
        <v>220</v>
      </c>
      <c r="C2" s="4"/>
      <c r="D2" s="4"/>
      <c r="E2" s="4"/>
      <c r="F2" s="4"/>
      <c r="G2" s="4"/>
      <c r="H2" s="4"/>
      <c r="I2" s="4"/>
      <c r="J2" s="4" t="s">
        <v>19</v>
      </c>
      <c r="K2" s="4"/>
      <c r="L2" s="4"/>
      <c r="M2" s="4"/>
      <c r="N2" s="4"/>
      <c r="O2" s="4"/>
      <c r="P2" s="4"/>
      <c r="Q2" s="4"/>
      <c r="R2" s="43"/>
      <c r="S2" s="4"/>
      <c r="T2" s="43"/>
      <c r="U2" s="4"/>
      <c r="V2" s="4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5"/>
      <c r="BA2" s="45"/>
      <c r="BB2" s="4"/>
      <c r="BC2" s="4"/>
      <c r="BD2" s="4"/>
      <c r="BE2" s="4"/>
      <c r="BF2" s="4"/>
      <c r="BG2" s="4"/>
      <c r="BH2" s="4"/>
      <c r="BI2" s="4"/>
      <c r="BJ2" s="4"/>
      <c r="BL2" s="4"/>
    </row>
    <row r="3" spans="1:64" ht="15" customHeight="1">
      <c r="B3" s="46"/>
      <c r="C3" s="4"/>
      <c r="D3" s="4"/>
      <c r="E3" s="4"/>
      <c r="F3" s="4"/>
      <c r="G3" s="4"/>
      <c r="H3" s="4"/>
      <c r="I3" s="4"/>
      <c r="J3" s="4"/>
      <c r="K3" s="4"/>
      <c r="L3" s="4"/>
      <c r="M3" s="4"/>
      <c r="N3" s="4"/>
      <c r="O3" s="4"/>
      <c r="P3" s="4"/>
      <c r="Q3" s="4"/>
      <c r="R3" s="43"/>
      <c r="S3" s="4"/>
      <c r="T3" s="43"/>
      <c r="U3" s="4"/>
      <c r="V3" s="4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5"/>
      <c r="BA3" s="45"/>
      <c r="BB3" s="4"/>
      <c r="BC3" s="4"/>
      <c r="BD3" s="4"/>
      <c r="BE3" s="4"/>
      <c r="BF3" s="4"/>
      <c r="BG3" s="4"/>
      <c r="BH3" s="4"/>
      <c r="BI3" s="4"/>
      <c r="BJ3" s="4"/>
      <c r="BK3" s="21" t="s">
        <v>14</v>
      </c>
      <c r="BL3" s="4"/>
    </row>
    <row r="4" spans="1:64" ht="18">
      <c r="B4" s="11" t="s">
        <v>7</v>
      </c>
      <c r="C4" s="14"/>
      <c r="D4" s="14"/>
      <c r="E4" s="14"/>
      <c r="F4" s="14"/>
      <c r="G4" s="14"/>
      <c r="H4" s="14"/>
      <c r="I4" s="14"/>
      <c r="J4" s="14"/>
      <c r="K4" s="14"/>
      <c r="L4" s="14"/>
      <c r="M4" s="14"/>
      <c r="N4" s="47"/>
      <c r="O4" s="47"/>
      <c r="P4" s="47"/>
      <c r="Q4" s="14"/>
      <c r="R4" s="14"/>
      <c r="S4" s="14"/>
      <c r="T4" s="14"/>
      <c r="U4" s="14"/>
      <c r="V4" s="4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47"/>
      <c r="BA4" s="47"/>
      <c r="BB4" s="14"/>
      <c r="BC4" s="14"/>
      <c r="BD4" s="14"/>
      <c r="BE4" s="14"/>
      <c r="BF4" s="14"/>
      <c r="BG4" s="14"/>
      <c r="BH4" s="14"/>
      <c r="BI4" s="14"/>
      <c r="BJ4" s="14"/>
      <c r="BK4" s="14"/>
      <c r="BL4" s="14"/>
    </row>
    <row r="5" spans="1:64" ht="15.6">
      <c r="B5" s="48" t="s">
        <v>221</v>
      </c>
      <c r="C5" s="297" t="s">
        <v>20</v>
      </c>
      <c r="D5" s="297"/>
      <c r="E5" s="297"/>
      <c r="F5" s="297"/>
      <c r="G5" s="297"/>
      <c r="H5" s="297"/>
      <c r="I5" s="297"/>
      <c r="J5" s="297"/>
      <c r="K5" s="297"/>
      <c r="L5" s="297"/>
      <c r="M5" s="297"/>
      <c r="N5" s="5"/>
      <c r="O5" s="5"/>
      <c r="P5" s="5"/>
      <c r="Q5" s="298" t="s">
        <v>20</v>
      </c>
      <c r="R5" s="298"/>
      <c r="S5" s="298"/>
      <c r="T5" s="298"/>
      <c r="U5" s="298"/>
      <c r="W5" s="9" t="s">
        <v>19</v>
      </c>
      <c r="X5" s="20"/>
      <c r="Y5" s="9" t="s">
        <v>222</v>
      </c>
      <c r="Z5" s="9" t="s">
        <v>222</v>
      </c>
      <c r="AA5" s="9" t="s">
        <v>222</v>
      </c>
      <c r="AB5" s="9" t="s">
        <v>222</v>
      </c>
      <c r="AC5" s="9" t="s">
        <v>222</v>
      </c>
      <c r="AD5" s="9" t="s">
        <v>222</v>
      </c>
      <c r="AE5" s="9" t="s">
        <v>222</v>
      </c>
      <c r="AF5" s="9" t="s">
        <v>222</v>
      </c>
      <c r="AG5" s="9" t="s">
        <v>222</v>
      </c>
      <c r="AH5" s="20"/>
      <c r="AI5" s="20"/>
      <c r="AJ5" s="20"/>
      <c r="AK5" s="20"/>
      <c r="AL5" s="20"/>
      <c r="AM5" s="20"/>
      <c r="AN5" s="20"/>
      <c r="AO5" s="20"/>
      <c r="AP5" s="20"/>
      <c r="AQ5" s="20"/>
      <c r="AR5" s="20"/>
      <c r="AS5" s="20"/>
      <c r="AT5" s="20"/>
      <c r="AU5" s="20"/>
      <c r="AV5" s="20"/>
      <c r="AW5" s="20"/>
      <c r="AX5" s="20"/>
      <c r="AY5" s="20"/>
      <c r="AZ5" s="5"/>
      <c r="BA5" s="5"/>
      <c r="BB5" s="9" t="s">
        <v>222</v>
      </c>
      <c r="BC5" s="9" t="s">
        <v>222</v>
      </c>
      <c r="BD5" s="20"/>
      <c r="BE5" s="20"/>
      <c r="BF5" s="20"/>
      <c r="BG5" s="20"/>
      <c r="BH5" s="20"/>
      <c r="BI5" s="20"/>
      <c r="BJ5" s="20"/>
      <c r="BK5" s="20"/>
      <c r="BL5" s="20"/>
    </row>
    <row r="6" spans="1:64" s="119" customFormat="1" ht="15" customHeight="1" thickBot="1">
      <c r="B6" s="120"/>
      <c r="C6" s="121" t="s">
        <v>223</v>
      </c>
      <c r="D6" s="121" t="s">
        <v>224</v>
      </c>
      <c r="E6" s="121" t="s">
        <v>225</v>
      </c>
      <c r="F6" s="121" t="s">
        <v>226</v>
      </c>
      <c r="G6" s="121" t="s">
        <v>227</v>
      </c>
      <c r="H6" s="121" t="s">
        <v>228</v>
      </c>
      <c r="I6" s="121" t="s">
        <v>229</v>
      </c>
      <c r="J6" s="121" t="s">
        <v>230</v>
      </c>
      <c r="K6" s="121" t="s">
        <v>231</v>
      </c>
      <c r="L6" s="121" t="s">
        <v>232</v>
      </c>
      <c r="M6" s="121" t="s">
        <v>233</v>
      </c>
      <c r="N6" s="122"/>
      <c r="O6" s="123"/>
      <c r="P6" s="122"/>
      <c r="Q6" s="121" t="s">
        <v>100</v>
      </c>
      <c r="R6" s="124"/>
      <c r="S6" s="121" t="s">
        <v>101</v>
      </c>
      <c r="T6" s="124"/>
      <c r="U6" s="121" t="s">
        <v>234</v>
      </c>
      <c r="W6" s="121" t="s">
        <v>223</v>
      </c>
      <c r="X6" s="121" t="s">
        <v>224</v>
      </c>
      <c r="Y6" s="121" t="s">
        <v>225</v>
      </c>
      <c r="Z6" s="121" t="s">
        <v>226</v>
      </c>
      <c r="AA6" s="121" t="s">
        <v>227</v>
      </c>
      <c r="AB6" s="121" t="s">
        <v>228</v>
      </c>
      <c r="AC6" s="121" t="s">
        <v>229</v>
      </c>
      <c r="AD6" s="121" t="s">
        <v>230</v>
      </c>
      <c r="AE6" s="121" t="s">
        <v>231</v>
      </c>
      <c r="AF6" s="121" t="s">
        <v>232</v>
      </c>
      <c r="AG6" s="121" t="s">
        <v>233</v>
      </c>
      <c r="AH6" s="121" t="s">
        <v>235</v>
      </c>
      <c r="AI6" s="121" t="s">
        <v>236</v>
      </c>
      <c r="AJ6" s="121" t="s">
        <v>237</v>
      </c>
      <c r="AK6" s="121" t="s">
        <v>238</v>
      </c>
      <c r="AL6" s="121" t="s">
        <v>239</v>
      </c>
      <c r="AM6" s="121" t="s">
        <v>240</v>
      </c>
      <c r="AN6" s="121" t="s">
        <v>241</v>
      </c>
      <c r="AO6" s="121" t="s">
        <v>242</v>
      </c>
      <c r="AP6" s="121" t="s">
        <v>243</v>
      </c>
      <c r="AQ6" s="121" t="s">
        <v>244</v>
      </c>
      <c r="AR6" s="121" t="s">
        <v>245</v>
      </c>
      <c r="AS6" s="121" t="s">
        <v>331</v>
      </c>
      <c r="AT6" s="121" t="s">
        <v>336</v>
      </c>
      <c r="AU6" s="121" t="s">
        <v>342</v>
      </c>
      <c r="AV6" s="121" t="s">
        <v>358</v>
      </c>
      <c r="AW6" s="121" t="s">
        <v>356</v>
      </c>
      <c r="AX6" s="121" t="s">
        <v>379</v>
      </c>
      <c r="AY6" s="121" t="s">
        <v>388</v>
      </c>
      <c r="AZ6" s="123"/>
      <c r="BA6" s="122"/>
      <c r="BB6" s="121" t="s">
        <v>100</v>
      </c>
      <c r="BC6" s="121" t="s">
        <v>101</v>
      </c>
      <c r="BD6" s="121" t="s">
        <v>102</v>
      </c>
      <c r="BE6" s="121" t="s">
        <v>103</v>
      </c>
      <c r="BF6" s="121" t="s">
        <v>104</v>
      </c>
      <c r="BG6" s="121" t="s">
        <v>333</v>
      </c>
      <c r="BH6" s="121" t="s">
        <v>343</v>
      </c>
      <c r="BI6" s="121" t="s">
        <v>359</v>
      </c>
      <c r="BJ6" s="121" t="s">
        <v>357</v>
      </c>
      <c r="BK6" s="121" t="s">
        <v>369</v>
      </c>
      <c r="BL6" s="121" t="s">
        <v>389</v>
      </c>
    </row>
    <row r="7" spans="1:64" ht="3.75" customHeight="1">
      <c r="B7" s="49"/>
      <c r="C7" s="20"/>
      <c r="D7" s="20"/>
      <c r="E7" s="20"/>
      <c r="F7" s="20"/>
      <c r="G7" s="20"/>
      <c r="H7" s="20"/>
      <c r="I7" s="20"/>
      <c r="J7" s="20"/>
      <c r="K7" s="20"/>
      <c r="L7" s="20"/>
      <c r="M7" s="20"/>
      <c r="N7" s="5"/>
      <c r="O7" s="50"/>
      <c r="P7" s="5"/>
      <c r="Q7" s="20"/>
      <c r="R7" s="43"/>
      <c r="S7" s="20"/>
      <c r="T7" s="43"/>
      <c r="U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50"/>
      <c r="BA7" s="5"/>
      <c r="BB7" s="20"/>
      <c r="BC7" s="20"/>
      <c r="BD7" s="20"/>
      <c r="BE7" s="20"/>
      <c r="BF7" s="20"/>
      <c r="BG7" s="20"/>
      <c r="BH7" s="20"/>
      <c r="BI7" s="20"/>
      <c r="BJ7" s="20"/>
      <c r="BK7" s="20"/>
      <c r="BL7" s="20"/>
    </row>
    <row r="8" spans="1:64" s="3" customFormat="1" ht="20.25" customHeight="1">
      <c r="B8" s="76" t="s">
        <v>105</v>
      </c>
      <c r="C8" s="77"/>
      <c r="D8" s="77"/>
      <c r="E8" s="77"/>
      <c r="F8" s="77"/>
      <c r="G8" s="77"/>
      <c r="H8" s="77"/>
      <c r="I8" s="77"/>
      <c r="J8" s="77"/>
      <c r="K8" s="77"/>
      <c r="L8" s="77"/>
      <c r="M8" s="77"/>
      <c r="N8" s="78"/>
      <c r="O8" s="79"/>
      <c r="P8" s="78"/>
      <c r="Q8" s="77"/>
      <c r="R8" s="80"/>
      <c r="S8" s="77"/>
      <c r="T8" s="80"/>
      <c r="U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9"/>
      <c r="BA8" s="78"/>
      <c r="BB8" s="77"/>
      <c r="BC8" s="77"/>
      <c r="BD8" s="77"/>
      <c r="BE8" s="77"/>
      <c r="BF8" s="77"/>
      <c r="BG8" s="77"/>
      <c r="BH8" s="263"/>
      <c r="BI8" s="263"/>
      <c r="BJ8" s="263"/>
      <c r="BK8" s="77"/>
      <c r="BL8" s="263"/>
    </row>
    <row r="9" spans="1:64" s="3" customFormat="1" ht="3.75" customHeight="1">
      <c r="B9" s="81"/>
      <c r="C9" s="82"/>
      <c r="D9" s="82"/>
      <c r="E9" s="82"/>
      <c r="F9" s="82"/>
      <c r="G9" s="82"/>
      <c r="H9" s="82"/>
      <c r="I9" s="82"/>
      <c r="J9" s="82"/>
      <c r="K9" s="82"/>
      <c r="L9" s="82"/>
      <c r="M9" s="82"/>
      <c r="N9" s="83"/>
      <c r="O9" s="84"/>
      <c r="P9" s="83"/>
      <c r="Q9" s="82"/>
      <c r="R9" s="80"/>
      <c r="S9" s="82"/>
      <c r="T9" s="80"/>
      <c r="U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4"/>
      <c r="BA9" s="83"/>
      <c r="BB9" s="82"/>
      <c r="BC9" s="82"/>
      <c r="BD9" s="82"/>
      <c r="BE9" s="82"/>
      <c r="BF9" s="82"/>
      <c r="BG9" s="82"/>
      <c r="BH9" s="82"/>
      <c r="BI9" s="82"/>
      <c r="BJ9" s="82"/>
      <c r="BK9" s="82"/>
      <c r="BL9" s="82"/>
    </row>
    <row r="10" spans="1:64" s="3" customFormat="1" ht="20.25" customHeight="1">
      <c r="B10" s="85" t="s">
        <v>246</v>
      </c>
      <c r="C10" s="86">
        <v>279.39768104168115</v>
      </c>
      <c r="D10" s="86">
        <v>270.32453976680597</v>
      </c>
      <c r="E10" s="86">
        <v>279.7909796559349</v>
      </c>
      <c r="F10" s="86">
        <v>301.50743151918545</v>
      </c>
      <c r="G10" s="86">
        <v>311.93652100415306</v>
      </c>
      <c r="H10" s="86">
        <v>330.1</v>
      </c>
      <c r="I10" s="86">
        <v>307.3</v>
      </c>
      <c r="J10" s="86">
        <v>324.3</v>
      </c>
      <c r="K10" s="86">
        <v>324.60000000000002</v>
      </c>
      <c r="L10" s="86">
        <v>309.2</v>
      </c>
      <c r="M10" s="86">
        <v>292</v>
      </c>
      <c r="N10" s="87"/>
      <c r="O10" s="88"/>
      <c r="P10" s="87"/>
      <c r="Q10" s="86">
        <v>1131.0206319836075</v>
      </c>
      <c r="R10" s="89"/>
      <c r="S10" s="86">
        <v>1273.6365210041499</v>
      </c>
      <c r="T10" s="89"/>
      <c r="U10" s="86">
        <v>1250.1000000000001</v>
      </c>
      <c r="W10" s="86">
        <v>279.39768104168115</v>
      </c>
      <c r="X10" s="86">
        <v>270.32453976680597</v>
      </c>
      <c r="Y10" s="86">
        <v>279.7909796559349</v>
      </c>
      <c r="Z10" s="86">
        <v>301.50743151918545</v>
      </c>
      <c r="AA10" s="86">
        <v>311.93652100415306</v>
      </c>
      <c r="AB10" s="86">
        <v>330.1</v>
      </c>
      <c r="AC10" s="86">
        <v>307.3</v>
      </c>
      <c r="AD10" s="86">
        <v>324.3</v>
      </c>
      <c r="AE10" s="86">
        <v>325.17200000000003</v>
      </c>
      <c r="AF10" s="86">
        <v>309.83999999999997</v>
      </c>
      <c r="AG10" s="86">
        <v>292.60700000000003</v>
      </c>
      <c r="AH10" s="86">
        <v>306.66699999999997</v>
      </c>
      <c r="AI10" s="86">
        <v>284.10000000000002</v>
      </c>
      <c r="AJ10" s="86">
        <v>243</v>
      </c>
      <c r="AK10" s="86">
        <v>234.4</v>
      </c>
      <c r="AL10" s="86">
        <v>243.5</v>
      </c>
      <c r="AM10" s="86">
        <v>231.9</v>
      </c>
      <c r="AN10" s="86">
        <v>217.3</v>
      </c>
      <c r="AO10" s="86">
        <v>208.3</v>
      </c>
      <c r="AP10" s="86">
        <v>216.7</v>
      </c>
      <c r="AQ10" s="86">
        <v>205</v>
      </c>
      <c r="AR10" s="86">
        <v>190</v>
      </c>
      <c r="AS10" s="86">
        <v>185.3</v>
      </c>
      <c r="AT10" s="86">
        <v>184.8</v>
      </c>
      <c r="AU10" s="86">
        <v>193.7</v>
      </c>
      <c r="AV10" s="86">
        <v>184.99</v>
      </c>
      <c r="AW10" s="86">
        <v>172.15</v>
      </c>
      <c r="AX10" s="86">
        <v>181.5</v>
      </c>
      <c r="AY10" s="86">
        <v>176.14</v>
      </c>
      <c r="AZ10" s="88"/>
      <c r="BA10" s="87"/>
      <c r="BB10" s="86">
        <v>1131.0206319836075</v>
      </c>
      <c r="BC10" s="86">
        <v>1273.6365210041531</v>
      </c>
      <c r="BD10" s="86">
        <v>1234.2859999999998</v>
      </c>
      <c r="BE10" s="86">
        <v>1005</v>
      </c>
      <c r="BF10" s="86">
        <v>874.2</v>
      </c>
      <c r="BG10" s="86">
        <v>765.09999999999991</v>
      </c>
      <c r="BH10" s="86">
        <v>753.8</v>
      </c>
      <c r="BI10" s="86">
        <f>AV10+AU10+AT10+AS10</f>
        <v>748.79</v>
      </c>
      <c r="BJ10" s="86">
        <f>AW10+AV10+AU10+AT10</f>
        <v>735.63999999999987</v>
      </c>
      <c r="BK10" s="86">
        <f>AX10+AW10+AV10+AU10</f>
        <v>732.33999999999992</v>
      </c>
      <c r="BL10" s="86">
        <f>AY10+AX10+AW10+AV10</f>
        <v>714.78</v>
      </c>
    </row>
    <row r="11" spans="1:64" s="3" customFormat="1" ht="20.25" customHeight="1">
      <c r="B11" s="85" t="s">
        <v>247</v>
      </c>
      <c r="C11" s="90">
        <v>59.078163846873288</v>
      </c>
      <c r="D11" s="90">
        <v>58.064693484487755</v>
      </c>
      <c r="E11" s="90">
        <v>56.405196036341813</v>
      </c>
      <c r="F11" s="90">
        <v>60.093007868973366</v>
      </c>
      <c r="G11" s="90">
        <v>58.632063387333361</v>
      </c>
      <c r="H11" s="90">
        <v>56.3</v>
      </c>
      <c r="I11" s="90">
        <v>56.8</v>
      </c>
      <c r="J11" s="90">
        <v>56.3</v>
      </c>
      <c r="K11" s="90">
        <v>61.3</v>
      </c>
      <c r="L11" s="90">
        <v>63.4</v>
      </c>
      <c r="M11" s="90">
        <v>62.1</v>
      </c>
      <c r="N11" s="87"/>
      <c r="O11" s="88"/>
      <c r="P11" s="87"/>
      <c r="Q11" s="90">
        <v>233.64106123667622</v>
      </c>
      <c r="R11" s="89"/>
      <c r="S11" s="90">
        <v>228.03206338733338</v>
      </c>
      <c r="T11" s="89"/>
      <c r="U11" s="90">
        <v>243.1</v>
      </c>
      <c r="W11" s="90">
        <v>59.078163846873288</v>
      </c>
      <c r="X11" s="90">
        <v>58.064693484487755</v>
      </c>
      <c r="Y11" s="90">
        <v>56.405196036341813</v>
      </c>
      <c r="Z11" s="90">
        <v>60.093007868973366</v>
      </c>
      <c r="AA11" s="90">
        <v>58.632063387333361</v>
      </c>
      <c r="AB11" s="90">
        <v>56.3</v>
      </c>
      <c r="AC11" s="90">
        <v>56.8</v>
      </c>
      <c r="AD11" s="90">
        <v>56.3</v>
      </c>
      <c r="AE11" s="90">
        <v>61.343000000000004</v>
      </c>
      <c r="AF11" s="90">
        <v>63.44</v>
      </c>
      <c r="AG11" s="90">
        <v>62.131999999999998</v>
      </c>
      <c r="AH11" s="90">
        <v>69.805999999999997</v>
      </c>
      <c r="AI11" s="90">
        <v>64</v>
      </c>
      <c r="AJ11" s="90">
        <v>49.2</v>
      </c>
      <c r="AK11" s="90">
        <v>54.2</v>
      </c>
      <c r="AL11" s="90">
        <v>51.6</v>
      </c>
      <c r="AM11" s="90">
        <v>51.1</v>
      </c>
      <c r="AN11" s="90">
        <v>56.2</v>
      </c>
      <c r="AO11" s="90">
        <v>54</v>
      </c>
      <c r="AP11" s="90">
        <v>56.5</v>
      </c>
      <c r="AQ11" s="90">
        <v>56.6</v>
      </c>
      <c r="AR11" s="90">
        <v>56.4</v>
      </c>
      <c r="AS11" s="90">
        <v>61</v>
      </c>
      <c r="AT11" s="90">
        <v>65.3</v>
      </c>
      <c r="AU11" s="90">
        <v>63</v>
      </c>
      <c r="AV11" s="90">
        <v>63.607999999999997</v>
      </c>
      <c r="AW11" s="90">
        <v>62.09</v>
      </c>
      <c r="AX11" s="90">
        <v>62.6</v>
      </c>
      <c r="AY11" s="90">
        <v>64.849999999999994</v>
      </c>
      <c r="AZ11" s="88"/>
      <c r="BA11" s="87"/>
      <c r="BB11" s="90">
        <v>233.64106123667622</v>
      </c>
      <c r="BC11" s="90">
        <v>228.03206338733338</v>
      </c>
      <c r="BD11" s="90">
        <v>256.721</v>
      </c>
      <c r="BE11" s="90">
        <v>219</v>
      </c>
      <c r="BF11" s="90">
        <v>217.8</v>
      </c>
      <c r="BG11" s="90">
        <v>239.3</v>
      </c>
      <c r="BH11" s="90">
        <v>245.7</v>
      </c>
      <c r="BI11" s="90">
        <f t="shared" ref="BI11:BL12" si="0">AV11+AU11+AT11+AS11</f>
        <v>252.90800000000002</v>
      </c>
      <c r="BJ11" s="90">
        <f t="shared" si="0"/>
        <v>253.99799999999999</v>
      </c>
      <c r="BK11" s="90">
        <f t="shared" si="0"/>
        <v>251.298</v>
      </c>
      <c r="BL11" s="90">
        <f t="shared" si="0"/>
        <v>253.148</v>
      </c>
    </row>
    <row r="12" spans="1:64" s="3" customFormat="1" ht="20.25" customHeight="1">
      <c r="B12" s="85" t="s">
        <v>248</v>
      </c>
      <c r="C12" s="90">
        <v>23.384871613304902</v>
      </c>
      <c r="D12" s="90">
        <v>21.576235024480798</v>
      </c>
      <c r="E12" s="90">
        <v>21.969333937501197</v>
      </c>
      <c r="F12" s="90">
        <v>24.688400561590392</v>
      </c>
      <c r="G12" s="90">
        <v>22.598466952197096</v>
      </c>
      <c r="H12" s="90">
        <v>23.9</v>
      </c>
      <c r="I12" s="90">
        <v>18.899999999999999</v>
      </c>
      <c r="J12" s="90">
        <v>19.100000000000001</v>
      </c>
      <c r="K12" s="90">
        <v>17.8</v>
      </c>
      <c r="L12" s="90">
        <v>17.600000000000001</v>
      </c>
      <c r="M12" s="90">
        <v>18.8</v>
      </c>
      <c r="N12" s="87"/>
      <c r="O12" s="88"/>
      <c r="P12" s="87"/>
      <c r="Q12" s="90">
        <v>91.618841136877279</v>
      </c>
      <c r="R12" s="89"/>
      <c r="S12" s="90">
        <v>84.498466952197077</v>
      </c>
      <c r="T12" s="89"/>
      <c r="U12" s="90">
        <v>73.300000000000011</v>
      </c>
      <c r="W12" s="90">
        <v>23.384871613304902</v>
      </c>
      <c r="X12" s="90">
        <v>21.576235024480798</v>
      </c>
      <c r="Y12" s="90">
        <v>21.969333937501197</v>
      </c>
      <c r="Z12" s="90">
        <v>24.688400561590392</v>
      </c>
      <c r="AA12" s="90">
        <v>22.598466952197096</v>
      </c>
      <c r="AB12" s="90">
        <v>23.937000000000001</v>
      </c>
      <c r="AC12" s="90">
        <v>18.940999999999999</v>
      </c>
      <c r="AD12" s="90">
        <v>19.082999999999998</v>
      </c>
      <c r="AE12" s="90">
        <v>17.841999999999999</v>
      </c>
      <c r="AF12" s="90">
        <v>17.568999999999999</v>
      </c>
      <c r="AG12" s="90">
        <v>18.806000000000001</v>
      </c>
      <c r="AH12" s="90">
        <v>17.114999999999998</v>
      </c>
      <c r="AI12" s="90">
        <v>17.3</v>
      </c>
      <c r="AJ12" s="90">
        <v>15.5</v>
      </c>
      <c r="AK12" s="90">
        <v>16.7</v>
      </c>
      <c r="AL12" s="90">
        <v>18.899999999999999</v>
      </c>
      <c r="AM12" s="90">
        <v>17.100000000000001</v>
      </c>
      <c r="AN12" s="90">
        <v>19.5</v>
      </c>
      <c r="AO12" s="90">
        <v>16.899999999999999</v>
      </c>
      <c r="AP12" s="90">
        <v>21.1</v>
      </c>
      <c r="AQ12" s="90">
        <v>17.8</v>
      </c>
      <c r="AR12" s="90">
        <v>20.399999999999999</v>
      </c>
      <c r="AS12" s="90">
        <v>17.8</v>
      </c>
      <c r="AT12" s="90">
        <v>16.8</v>
      </c>
      <c r="AU12" s="90">
        <v>16.899999999999999</v>
      </c>
      <c r="AV12" s="90">
        <v>24.34</v>
      </c>
      <c r="AW12" s="90">
        <v>18.88</v>
      </c>
      <c r="AX12" s="90">
        <v>20.3</v>
      </c>
      <c r="AY12" s="90">
        <v>17.818999999999999</v>
      </c>
      <c r="AZ12" s="88"/>
      <c r="BA12" s="87"/>
      <c r="BB12" s="90">
        <v>91.618841136877279</v>
      </c>
      <c r="BC12" s="90">
        <v>84.6</v>
      </c>
      <c r="BD12" s="90">
        <v>71.331999999999994</v>
      </c>
      <c r="BE12" s="90">
        <v>68.400000000000006</v>
      </c>
      <c r="BF12" s="90">
        <v>74.599999999999994</v>
      </c>
      <c r="BG12" s="90">
        <v>72.8</v>
      </c>
      <c r="BH12" s="90">
        <v>71.900000000000006</v>
      </c>
      <c r="BI12" s="90">
        <f t="shared" si="0"/>
        <v>75.839999999999989</v>
      </c>
      <c r="BJ12" s="90">
        <f t="shared" si="0"/>
        <v>76.92</v>
      </c>
      <c r="BK12" s="90">
        <f t="shared" si="0"/>
        <v>80.419999999999987</v>
      </c>
      <c r="BL12" s="90">
        <f t="shared" si="0"/>
        <v>81.338999999999999</v>
      </c>
    </row>
    <row r="13" spans="1:64" s="91" customFormat="1" ht="20.25" customHeight="1">
      <c r="B13" s="92" t="s">
        <v>249</v>
      </c>
      <c r="C13" s="93">
        <v>361.86028913715944</v>
      </c>
      <c r="D13" s="93">
        <v>349.96546710683452</v>
      </c>
      <c r="E13" s="93">
        <v>358.16550962977789</v>
      </c>
      <c r="F13" s="93">
        <v>386.28883958686924</v>
      </c>
      <c r="G13" s="93">
        <v>393.16705134368362</v>
      </c>
      <c r="H13" s="93">
        <v>410.38168223752746</v>
      </c>
      <c r="I13" s="93">
        <v>383.03000559092044</v>
      </c>
      <c r="J13" s="93">
        <v>399.64334425733591</v>
      </c>
      <c r="K13" s="93">
        <v>403.76469007781719</v>
      </c>
      <c r="L13" s="93">
        <v>390.15971691157785</v>
      </c>
      <c r="M13" s="93">
        <v>372.91669093397002</v>
      </c>
      <c r="N13" s="94"/>
      <c r="O13" s="95"/>
      <c r="P13" s="94"/>
      <c r="Q13" s="93">
        <v>1456.2801054606412</v>
      </c>
      <c r="R13" s="89"/>
      <c r="S13" s="93">
        <v>1586.1670513436836</v>
      </c>
      <c r="T13" s="89"/>
      <c r="U13" s="93">
        <v>1566.5</v>
      </c>
      <c r="W13" s="93">
        <v>361.86071650185932</v>
      </c>
      <c r="X13" s="93">
        <v>349.96546827577453</v>
      </c>
      <c r="Y13" s="93">
        <v>358.16550962977794</v>
      </c>
      <c r="Z13" s="93">
        <v>379.85583958686925</v>
      </c>
      <c r="AA13" s="93">
        <v>393.16705134368362</v>
      </c>
      <c r="AB13" s="93">
        <v>410.38168223752746</v>
      </c>
      <c r="AC13" s="93">
        <v>383.03000559092044</v>
      </c>
      <c r="AD13" s="93">
        <v>399.64334425733591</v>
      </c>
      <c r="AE13" s="93">
        <v>404.35735676781724</v>
      </c>
      <c r="AF13" s="93">
        <v>390.84866422157785</v>
      </c>
      <c r="AG13" s="93">
        <v>373.54564927397007</v>
      </c>
      <c r="AH13" s="93">
        <v>393.58531274976764</v>
      </c>
      <c r="AI13" s="93">
        <v>365.45068415521746</v>
      </c>
      <c r="AJ13" s="93">
        <v>307.72238142275376</v>
      </c>
      <c r="AK13" s="93">
        <v>305.28002646753504</v>
      </c>
      <c r="AL13" s="93">
        <v>314.10861611949463</v>
      </c>
      <c r="AM13" s="93">
        <v>300.0555049442018</v>
      </c>
      <c r="AN13" s="93">
        <v>293.00887247759891</v>
      </c>
      <c r="AO13" s="93">
        <v>279.22879626982632</v>
      </c>
      <c r="AP13" s="93">
        <v>294.31315256571168</v>
      </c>
      <c r="AQ13" s="93">
        <v>279.39778957140936</v>
      </c>
      <c r="AR13" s="93">
        <v>266.76955282809701</v>
      </c>
      <c r="AS13" s="93">
        <v>264.03814653455015</v>
      </c>
      <c r="AT13" s="93">
        <v>266.95180683583476</v>
      </c>
      <c r="AU13" s="93">
        <v>273.6200506406762</v>
      </c>
      <c r="AV13" s="93">
        <f>SUM(AV10:AV12)</f>
        <v>272.93799999999999</v>
      </c>
      <c r="AW13" s="93">
        <f>SUM(AW10:AW12)</f>
        <v>253.12</v>
      </c>
      <c r="AX13" s="93">
        <f>SUM(AX10:AX12)</f>
        <v>264.39999999999998</v>
      </c>
      <c r="AY13" s="93">
        <f>SUM(AY10:AY12)</f>
        <v>258.80899999999997</v>
      </c>
      <c r="AZ13" s="95"/>
      <c r="BA13" s="94"/>
      <c r="BB13" s="93">
        <v>1449.8475339942811</v>
      </c>
      <c r="BC13" s="93">
        <v>1586.1670513436836</v>
      </c>
      <c r="BD13" s="93">
        <v>1562.337</v>
      </c>
      <c r="BE13" s="93">
        <v>1292.4000000000001</v>
      </c>
      <c r="BF13" s="93">
        <v>1166.5999999999999</v>
      </c>
      <c r="BG13" s="93">
        <v>1077.1999999999998</v>
      </c>
      <c r="BH13" s="93">
        <v>1071.4000000000001</v>
      </c>
      <c r="BI13" s="93">
        <f>SUM(BI10:BI12)</f>
        <v>1077.538</v>
      </c>
      <c r="BJ13" s="93">
        <f>SUM(BJ10:BJ12)</f>
        <v>1066.558</v>
      </c>
      <c r="BK13" s="93">
        <f>SUM(BK10:BK12)</f>
        <v>1064.058</v>
      </c>
      <c r="BL13" s="93">
        <f>SUM(BL10:BL12)</f>
        <v>1049.2670000000001</v>
      </c>
    </row>
    <row r="14" spans="1:64" s="3" customFormat="1" ht="6" customHeight="1">
      <c r="B14" s="97"/>
      <c r="C14" s="90"/>
      <c r="D14" s="90"/>
      <c r="E14" s="90"/>
      <c r="F14" s="90"/>
      <c r="G14" s="90"/>
      <c r="H14" s="90"/>
      <c r="I14" s="90"/>
      <c r="J14" s="90"/>
      <c r="K14" s="90"/>
      <c r="L14" s="90"/>
      <c r="M14" s="90"/>
      <c r="N14" s="98"/>
      <c r="O14" s="99"/>
      <c r="P14" s="98"/>
      <c r="Q14" s="90"/>
      <c r="R14" s="89"/>
      <c r="S14" s="90"/>
      <c r="T14" s="89"/>
      <c r="U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9"/>
      <c r="BA14" s="98"/>
      <c r="BB14" s="90"/>
      <c r="BC14" s="90"/>
      <c r="BD14" s="90"/>
      <c r="BE14" s="90"/>
      <c r="BF14" s="90"/>
      <c r="BG14" s="90"/>
      <c r="BH14" s="90"/>
      <c r="BI14" s="90"/>
      <c r="BJ14" s="90"/>
      <c r="BK14" s="90"/>
      <c r="BL14" s="90"/>
    </row>
    <row r="15" spans="1:64" s="3" customFormat="1" ht="20.25" customHeight="1">
      <c r="B15" s="100" t="s">
        <v>250</v>
      </c>
      <c r="C15" s="90">
        <v>261.87349045470557</v>
      </c>
      <c r="D15" s="90">
        <v>257.02990055994434</v>
      </c>
      <c r="E15" s="90">
        <v>271.09076048785897</v>
      </c>
      <c r="F15" s="90">
        <v>289.90132945436017</v>
      </c>
      <c r="G15" s="90">
        <v>293.79227503440774</v>
      </c>
      <c r="H15" s="90">
        <v>313.95357186524109</v>
      </c>
      <c r="I15" s="90">
        <v>295.93596869644369</v>
      </c>
      <c r="J15" s="90">
        <v>306.19239867100936</v>
      </c>
      <c r="K15" s="90">
        <v>306.88163862106279</v>
      </c>
      <c r="L15" s="90">
        <v>298.00610703888538</v>
      </c>
      <c r="M15" s="90">
        <v>291.22193240207025</v>
      </c>
      <c r="N15" s="87"/>
      <c r="O15" s="88"/>
      <c r="P15" s="87"/>
      <c r="Q15" s="90">
        <v>1079.8954809568691</v>
      </c>
      <c r="R15" s="89"/>
      <c r="S15" s="90">
        <v>1209.8742142671019</v>
      </c>
      <c r="T15" s="89"/>
      <c r="U15" s="90">
        <v>1202.3020767330277</v>
      </c>
      <c r="W15" s="90">
        <v>261.87349045470557</v>
      </c>
      <c r="X15" s="90">
        <v>257.02990055994434</v>
      </c>
      <c r="Y15" s="90">
        <v>271.09076048785892</v>
      </c>
      <c r="Z15" s="90">
        <v>288.30232945436018</v>
      </c>
      <c r="AA15" s="90">
        <v>294.89638300440777</v>
      </c>
      <c r="AB15" s="90">
        <v>315.16787637524112</v>
      </c>
      <c r="AC15" s="90">
        <v>296.68473208644366</v>
      </c>
      <c r="AD15" s="90">
        <v>306.65388646100939</v>
      </c>
      <c r="AE15" s="90">
        <v>310.60067264106283</v>
      </c>
      <c r="AF15" s="90">
        <v>303.83060427888535</v>
      </c>
      <c r="AG15" s="90">
        <v>295.44535420207023</v>
      </c>
      <c r="AH15" s="90">
        <v>314.85805460387542</v>
      </c>
      <c r="AI15" s="90">
        <v>292.538523657496</v>
      </c>
      <c r="AJ15" s="90">
        <v>241.7877216839704</v>
      </c>
      <c r="AK15" s="90">
        <v>234.22167249498719</v>
      </c>
      <c r="AL15" s="90">
        <v>254.99654381055922</v>
      </c>
      <c r="AM15" s="90">
        <v>232.58672018490907</v>
      </c>
      <c r="AN15" s="90">
        <v>209.07959696923808</v>
      </c>
      <c r="AO15" s="90">
        <v>211.73120616129617</v>
      </c>
      <c r="AP15" s="90">
        <v>235.6970446262836</v>
      </c>
      <c r="AQ15" s="90">
        <v>223.50352544152548</v>
      </c>
      <c r="AR15" s="90">
        <v>217.27696654793536</v>
      </c>
      <c r="AS15" s="90">
        <v>217.84246619984054</v>
      </c>
      <c r="AT15" s="90">
        <v>218.85099390034776</v>
      </c>
      <c r="AU15" s="302">
        <f>'3. Income Statement'!AT10/1000</f>
        <v>216.46700000000001</v>
      </c>
      <c r="AV15" s="302">
        <f>'3. Income Statement'!AU10/1000</f>
        <v>212.059</v>
      </c>
      <c r="AW15" s="302">
        <f>'3. Income Statement'!AV10/1000</f>
        <v>198.45</v>
      </c>
      <c r="AX15" s="302">
        <f>'3. Income Statement'!AW10/1000</f>
        <v>206.44644283205159</v>
      </c>
      <c r="AY15" s="302">
        <f>'3. Income Statement'!AY10/1000</f>
        <v>201.988</v>
      </c>
      <c r="AZ15" s="88"/>
      <c r="BA15" s="87"/>
      <c r="BB15" s="90">
        <v>1078.2964809568691</v>
      </c>
      <c r="BC15" s="90">
        <v>1213.4028779271021</v>
      </c>
      <c r="BD15" s="90">
        <v>1224.734685725894</v>
      </c>
      <c r="BE15" s="90">
        <v>1023.5444616470127</v>
      </c>
      <c r="BF15" s="90">
        <v>889.09456794172695</v>
      </c>
      <c r="BG15" s="90">
        <v>877.47395208964917</v>
      </c>
      <c r="BH15" s="90">
        <v>870.43672150206987</v>
      </c>
      <c r="BI15" s="90">
        <f t="shared" ref="BI15:BL17" si="1">AV15+AU15+AT15+AS15</f>
        <v>865.21946010018837</v>
      </c>
      <c r="BJ15" s="90">
        <f t="shared" si="1"/>
        <v>845.82699390034782</v>
      </c>
      <c r="BK15" s="90">
        <f t="shared" si="1"/>
        <v>833.4224428320515</v>
      </c>
      <c r="BL15" s="90">
        <f t="shared" si="1"/>
        <v>818.94344283205146</v>
      </c>
    </row>
    <row r="16" spans="1:64" s="3" customFormat="1" ht="6" customHeight="1">
      <c r="B16" s="97"/>
      <c r="C16" s="90"/>
      <c r="D16" s="90"/>
      <c r="E16" s="90"/>
      <c r="F16" s="90"/>
      <c r="G16" s="90"/>
      <c r="H16" s="90"/>
      <c r="I16" s="90"/>
      <c r="J16" s="90"/>
      <c r="K16" s="90"/>
      <c r="L16" s="90"/>
      <c r="M16" s="90"/>
      <c r="N16" s="98"/>
      <c r="O16" s="99"/>
      <c r="P16" s="98"/>
      <c r="Q16" s="90"/>
      <c r="R16" s="89"/>
      <c r="S16" s="90"/>
      <c r="T16" s="89"/>
      <c r="U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9"/>
      <c r="BA16" s="98"/>
      <c r="BB16" s="90"/>
      <c r="BC16" s="90"/>
      <c r="BD16" s="90"/>
      <c r="BE16" s="90"/>
      <c r="BF16" s="90"/>
      <c r="BG16" s="90"/>
      <c r="BH16" s="90"/>
      <c r="BI16" s="90"/>
      <c r="BJ16" s="90"/>
      <c r="BK16" s="90"/>
      <c r="BL16" s="90"/>
    </row>
    <row r="17" spans="1:67" s="3" customFormat="1" ht="20.25" customHeight="1">
      <c r="B17" s="100" t="s">
        <v>251</v>
      </c>
      <c r="C17" s="90">
        <v>99.986798682453866</v>
      </c>
      <c r="D17" s="90">
        <v>92.935566546890186</v>
      </c>
      <c r="E17" s="90">
        <v>87.074749141918915</v>
      </c>
      <c r="F17" s="90">
        <v>96.387510132509078</v>
      </c>
      <c r="G17" s="90">
        <v>99.374776309275887</v>
      </c>
      <c r="H17" s="90">
        <v>96.428110372286369</v>
      </c>
      <c r="I17" s="90">
        <v>87.094036894476744</v>
      </c>
      <c r="J17" s="90">
        <v>93.450945586326554</v>
      </c>
      <c r="K17" s="90">
        <v>96.883051456754401</v>
      </c>
      <c r="L17" s="90">
        <v>92.153609872692471</v>
      </c>
      <c r="M17" s="90">
        <v>81.694758531899765</v>
      </c>
      <c r="N17" s="87"/>
      <c r="O17" s="88"/>
      <c r="P17" s="87"/>
      <c r="Q17" s="90">
        <v>376.38462450377205</v>
      </c>
      <c r="R17" s="89"/>
      <c r="S17" s="90">
        <v>376.34786916236555</v>
      </c>
      <c r="T17" s="89"/>
      <c r="U17" s="90">
        <v>364.18236544767319</v>
      </c>
      <c r="W17" s="90">
        <v>99.98722604715374</v>
      </c>
      <c r="X17" s="90">
        <v>92.935567715830189</v>
      </c>
      <c r="Y17" s="90">
        <v>87.074749141919028</v>
      </c>
      <c r="Z17" s="90">
        <v>91.553510132509075</v>
      </c>
      <c r="AA17" s="90">
        <v>98.270668339275858</v>
      </c>
      <c r="AB17" s="90">
        <v>95.213805862286335</v>
      </c>
      <c r="AC17" s="90">
        <v>86.345273504476779</v>
      </c>
      <c r="AD17" s="90">
        <v>92.989457796326519</v>
      </c>
      <c r="AE17" s="90">
        <v>93.756684126754408</v>
      </c>
      <c r="AF17" s="90">
        <v>87.018059942692503</v>
      </c>
      <c r="AG17" s="90">
        <v>78.100295071899836</v>
      </c>
      <c r="AH17" s="90">
        <f>AH13-AH15</f>
        <v>78.727258145892222</v>
      </c>
      <c r="AI17" s="90">
        <v>72.912160497721459</v>
      </c>
      <c r="AJ17" s="90">
        <v>65.934659738783353</v>
      </c>
      <c r="AK17" s="90">
        <v>71.058353972547849</v>
      </c>
      <c r="AL17" s="90">
        <v>59.11207230893541</v>
      </c>
      <c r="AM17" s="90">
        <v>67.468784759292731</v>
      </c>
      <c r="AN17" s="90">
        <v>83.929275508360831</v>
      </c>
      <c r="AO17" s="90">
        <v>67.497590108530147</v>
      </c>
      <c r="AP17" s="90">
        <v>58.616107939428076</v>
      </c>
      <c r="AQ17" s="90">
        <v>55.894264129883879</v>
      </c>
      <c r="AR17" s="90">
        <v>49.492586280161305</v>
      </c>
      <c r="AS17" s="90">
        <v>46.195680334709607</v>
      </c>
      <c r="AT17" s="90">
        <v>48.100812935486999</v>
      </c>
      <c r="AU17" s="90">
        <f>AU13-AU15</f>
        <v>57.153050640676184</v>
      </c>
      <c r="AV17" s="90">
        <f>AV13-AV15</f>
        <v>60.878999999999991</v>
      </c>
      <c r="AW17" s="90">
        <f>AW13-AW15</f>
        <v>54.670000000000016</v>
      </c>
      <c r="AX17" s="90">
        <f>AX13-AX15</f>
        <v>57.953557167948389</v>
      </c>
      <c r="AY17" s="90">
        <f>AY13-AY15</f>
        <v>56.82099999999997</v>
      </c>
      <c r="AZ17" s="88"/>
      <c r="BA17" s="87"/>
      <c r="BB17" s="90">
        <v>371.55105303741203</v>
      </c>
      <c r="BC17" s="90">
        <v>372.81920550236549</v>
      </c>
      <c r="BD17" s="90">
        <v>337.60229728723897</v>
      </c>
      <c r="BE17" s="90">
        <v>269.01724651798804</v>
      </c>
      <c r="BF17" s="90">
        <v>277.51175831561181</v>
      </c>
      <c r="BG17" s="90">
        <v>199.68334368024179</v>
      </c>
      <c r="BH17" s="90">
        <v>200.94283533708796</v>
      </c>
      <c r="BI17" s="90">
        <f t="shared" si="1"/>
        <v>212.32854391087278</v>
      </c>
      <c r="BJ17" s="90">
        <f t="shared" si="1"/>
        <v>220.80286357616319</v>
      </c>
      <c r="BK17" s="90">
        <f t="shared" si="1"/>
        <v>230.65560780862458</v>
      </c>
      <c r="BL17" s="90">
        <f t="shared" si="1"/>
        <v>230.32355716794837</v>
      </c>
    </row>
    <row r="18" spans="1:67" s="101" customFormat="1" ht="20.25" customHeight="1">
      <c r="B18" s="102" t="s">
        <v>252</v>
      </c>
      <c r="C18" s="103">
        <v>0.28000000000000003</v>
      </c>
      <c r="D18" s="103">
        <v>0.27</v>
      </c>
      <c r="E18" s="103">
        <v>0.24</v>
      </c>
      <c r="F18" s="103">
        <v>0.25</v>
      </c>
      <c r="G18" s="103">
        <v>0.25</v>
      </c>
      <c r="H18" s="103">
        <v>0.23</v>
      </c>
      <c r="I18" s="103">
        <v>0.23</v>
      </c>
      <c r="J18" s="103">
        <v>0.23</v>
      </c>
      <c r="K18" s="103">
        <v>0.24</v>
      </c>
      <c r="L18" s="103">
        <v>0.24</v>
      </c>
      <c r="M18" s="103">
        <v>0.22</v>
      </c>
      <c r="N18" s="104"/>
      <c r="O18" s="105"/>
      <c r="P18" s="104"/>
      <c r="Q18" s="106">
        <v>0.26</v>
      </c>
      <c r="R18" s="106" t="s">
        <v>19</v>
      </c>
      <c r="S18" s="106">
        <v>0.24</v>
      </c>
      <c r="T18" s="106"/>
      <c r="U18" s="106">
        <v>0.23</v>
      </c>
      <c r="W18" s="106">
        <v>0.28000000000000003</v>
      </c>
      <c r="X18" s="106">
        <v>0.27</v>
      </c>
      <c r="Y18" s="106">
        <v>0.24</v>
      </c>
      <c r="Z18" s="106">
        <v>0.24</v>
      </c>
      <c r="AA18" s="107">
        <v>0.25</v>
      </c>
      <c r="AB18" s="107">
        <v>0.23</v>
      </c>
      <c r="AC18" s="107">
        <v>0.23</v>
      </c>
      <c r="AD18" s="107">
        <v>0.23</v>
      </c>
      <c r="AE18" s="107">
        <v>0.23</v>
      </c>
      <c r="AF18" s="107">
        <v>0.22</v>
      </c>
      <c r="AG18" s="107">
        <v>0.21</v>
      </c>
      <c r="AH18" s="107">
        <v>0.2</v>
      </c>
      <c r="AI18" s="107">
        <v>0.2</v>
      </c>
      <c r="AJ18" s="107">
        <v>0.21</v>
      </c>
      <c r="AK18" s="107">
        <v>0.23</v>
      </c>
      <c r="AL18" s="107">
        <v>0.19</v>
      </c>
      <c r="AM18" s="107">
        <v>0.22</v>
      </c>
      <c r="AN18" s="107">
        <v>0.28999999999999998</v>
      </c>
      <c r="AO18" s="107">
        <v>0.24</v>
      </c>
      <c r="AP18" s="107">
        <v>0.2</v>
      </c>
      <c r="AQ18" s="107">
        <v>0.2</v>
      </c>
      <c r="AR18" s="107">
        <v>0.19</v>
      </c>
      <c r="AS18" s="107">
        <v>0.17</v>
      </c>
      <c r="AT18" s="107">
        <f>AT17/AT13</f>
        <v>0.18018538067085335</v>
      </c>
      <c r="AU18" s="107">
        <f>AU17/AU13</f>
        <v>0.20887742147131905</v>
      </c>
      <c r="AV18" s="107">
        <f>AV17/AV13</f>
        <v>0.22305065619298153</v>
      </c>
      <c r="AW18" s="107">
        <f>AW17/AW13</f>
        <v>0.21598451327433635</v>
      </c>
      <c r="AX18" s="107">
        <f>AX17/AX13</f>
        <v>0.21918894541584114</v>
      </c>
      <c r="AY18" s="107">
        <f>AY17/AY13</f>
        <v>0.21954800644490716</v>
      </c>
      <c r="AZ18" s="105"/>
      <c r="BA18" s="104"/>
      <c r="BB18" s="108">
        <v>0.26</v>
      </c>
      <c r="BC18" s="108">
        <v>0.24</v>
      </c>
      <c r="BD18" s="108">
        <v>0.22</v>
      </c>
      <c r="BE18" s="108">
        <v>0.21</v>
      </c>
      <c r="BF18" s="108">
        <v>0.24</v>
      </c>
      <c r="BG18" s="108">
        <v>0.19</v>
      </c>
      <c r="BH18" s="108">
        <v>0.19</v>
      </c>
      <c r="BI18" s="108">
        <f>BI17/BI13</f>
        <v>0.1970497039648465</v>
      </c>
      <c r="BJ18" s="108">
        <f>BJ17/BJ13</f>
        <v>0.20702377514974638</v>
      </c>
      <c r="BK18" s="108">
        <f>BK17/BK13</f>
        <v>0.21676976988907051</v>
      </c>
      <c r="BL18" s="108">
        <f>BL17/BL13</f>
        <v>0.21950900692383193</v>
      </c>
    </row>
    <row r="19" spans="1:67" s="3" customFormat="1" ht="6" customHeight="1">
      <c r="B19" s="97"/>
      <c r="C19" s="109"/>
      <c r="D19" s="109"/>
      <c r="E19" s="109"/>
      <c r="F19" s="109"/>
      <c r="G19" s="109"/>
      <c r="H19" s="109"/>
      <c r="I19" s="109"/>
      <c r="J19" s="109"/>
      <c r="K19" s="109"/>
      <c r="L19" s="109"/>
      <c r="M19" s="109"/>
      <c r="N19" s="98"/>
      <c r="O19" s="99"/>
      <c r="P19" s="98"/>
      <c r="Q19" s="109"/>
      <c r="R19" s="89"/>
      <c r="S19" s="109"/>
      <c r="T19" s="89"/>
      <c r="U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99"/>
      <c r="BA19" s="98"/>
      <c r="BB19" s="109"/>
      <c r="BC19" s="109"/>
      <c r="BD19" s="109"/>
      <c r="BE19" s="109"/>
      <c r="BF19" s="109"/>
      <c r="BG19" s="109"/>
      <c r="BH19" s="109"/>
      <c r="BI19" s="109"/>
      <c r="BJ19" s="109"/>
      <c r="BK19" s="109"/>
      <c r="BL19" s="109"/>
    </row>
    <row r="20" spans="1:67" s="3" customFormat="1" ht="20.25" customHeight="1">
      <c r="B20" s="100" t="s">
        <v>253</v>
      </c>
      <c r="C20" s="96">
        <v>51.56481515944062</v>
      </c>
      <c r="D20" s="96">
        <v>49.388492732138872</v>
      </c>
      <c r="E20" s="96">
        <v>106.468564928712</v>
      </c>
      <c r="F20" s="96">
        <v>48.328636005912216</v>
      </c>
      <c r="G20" s="96">
        <v>45.594741570457863</v>
      </c>
      <c r="H20" s="96">
        <v>46.723266694760298</v>
      </c>
      <c r="I20" s="96">
        <v>44.913358515953099</v>
      </c>
      <c r="J20" s="96">
        <v>47.419962072829499</v>
      </c>
      <c r="K20" s="96">
        <v>49.949190148742396</v>
      </c>
      <c r="L20" s="96">
        <v>51.563586458775994</v>
      </c>
      <c r="M20" s="96">
        <v>50.372210858204703</v>
      </c>
      <c r="N20" s="87"/>
      <c r="O20" s="88"/>
      <c r="P20" s="87"/>
      <c r="Q20" s="96">
        <v>255.75050882620371</v>
      </c>
      <c r="R20" s="89"/>
      <c r="S20" s="96">
        <v>184.65132885400075</v>
      </c>
      <c r="T20" s="89"/>
      <c r="U20" s="96">
        <v>199.30494953855259</v>
      </c>
      <c r="W20" s="96">
        <v>51.56481515944062</v>
      </c>
      <c r="X20" s="96">
        <v>49.388492732138872</v>
      </c>
      <c r="Y20" s="96">
        <v>106.468564928712</v>
      </c>
      <c r="Z20" s="96">
        <v>48.328636005912216</v>
      </c>
      <c r="AA20" s="96">
        <v>45.519001070457861</v>
      </c>
      <c r="AB20" s="96">
        <v>46.378455014760299</v>
      </c>
      <c r="AC20" s="96">
        <v>44.896714955953108</v>
      </c>
      <c r="AD20" s="96">
        <v>48.113621942829496</v>
      </c>
      <c r="AE20" s="96">
        <v>49.677779678742397</v>
      </c>
      <c r="AF20" s="96">
        <v>51.161235518776003</v>
      </c>
      <c r="AG20" s="96">
        <v>48.347393798204706</v>
      </c>
      <c r="AH20" s="96">
        <v>49.677388497945948</v>
      </c>
      <c r="AI20" s="96">
        <v>50.373747204179708</v>
      </c>
      <c r="AJ20" s="96">
        <v>47.0137151101965</v>
      </c>
      <c r="AK20" s="96">
        <v>42.836726966924715</v>
      </c>
      <c r="AL20" s="96">
        <v>45.880009261214497</v>
      </c>
      <c r="AM20" s="96">
        <v>41.885262091962097</v>
      </c>
      <c r="AN20" s="96">
        <v>36.38965824316341</v>
      </c>
      <c r="AO20" s="96">
        <v>43.243963409712194</v>
      </c>
      <c r="AP20" s="96">
        <v>48.262436298807501</v>
      </c>
      <c r="AQ20" s="96">
        <v>43.040348304555799</v>
      </c>
      <c r="AR20" s="96">
        <v>50.194792644504098</v>
      </c>
      <c r="AS20" s="96">
        <v>44.369157950464206</v>
      </c>
      <c r="AT20" s="96">
        <v>38.919942031671198</v>
      </c>
      <c r="AU20" s="96">
        <f>'3. Income Statement'!AT11/1000</f>
        <v>44.381</v>
      </c>
      <c r="AV20" s="96">
        <f>'3. Income Statement'!AU11/1000</f>
        <v>32.026000000000003</v>
      </c>
      <c r="AW20" s="96">
        <f>'3. Income Statement'!AV11/1000</f>
        <v>35.366999999999997</v>
      </c>
      <c r="AX20" s="96">
        <f>'3. Income Statement'!AW11/1000</f>
        <v>38.8978909247815</v>
      </c>
      <c r="AY20" s="96">
        <f>'3. Income Statement'!AY11/1000</f>
        <v>40.853999999999999</v>
      </c>
      <c r="AZ20" s="88"/>
      <c r="BA20" s="87"/>
      <c r="BB20" s="96">
        <v>255.75050882620371</v>
      </c>
      <c r="BC20" s="96">
        <v>184.90779298400076</v>
      </c>
      <c r="BD20" s="96">
        <v>198.86379749366904</v>
      </c>
      <c r="BE20" s="96">
        <v>186.10419854251543</v>
      </c>
      <c r="BF20" s="96">
        <v>169.7813200436452</v>
      </c>
      <c r="BG20" s="96">
        <v>176.52424093119532</v>
      </c>
      <c r="BH20" s="96">
        <v>177.86509116875038</v>
      </c>
      <c r="BI20" s="96">
        <f t="shared" ref="BI20:BL20" si="2">AV20+AU20+AT20+AS20</f>
        <v>159.69609998213542</v>
      </c>
      <c r="BJ20" s="96">
        <f t="shared" si="2"/>
        <v>150.69394203167121</v>
      </c>
      <c r="BK20" s="96">
        <f t="shared" si="2"/>
        <v>150.67189092478151</v>
      </c>
      <c r="BL20" s="96">
        <f t="shared" si="2"/>
        <v>147.14489092478149</v>
      </c>
    </row>
    <row r="21" spans="1:67" s="101" customFormat="1" ht="20.25" customHeight="1">
      <c r="B21" s="102" t="s">
        <v>254</v>
      </c>
      <c r="C21" s="110">
        <v>0.14000000000000001</v>
      </c>
      <c r="D21" s="110">
        <v>0.14000000000000001</v>
      </c>
      <c r="E21" s="110">
        <v>0.3</v>
      </c>
      <c r="F21" s="110">
        <v>0.13</v>
      </c>
      <c r="G21" s="110">
        <v>0.12</v>
      </c>
      <c r="H21" s="110">
        <v>0.11</v>
      </c>
      <c r="I21" s="110">
        <v>0.12</v>
      </c>
      <c r="J21" s="110">
        <v>0.12</v>
      </c>
      <c r="K21" s="110">
        <v>0.12</v>
      </c>
      <c r="L21" s="110">
        <v>0.13</v>
      </c>
      <c r="M21" s="110">
        <v>0.14000000000000001</v>
      </c>
      <c r="N21" s="104"/>
      <c r="O21" s="105"/>
      <c r="P21" s="104"/>
      <c r="Q21" s="111">
        <v>0.18</v>
      </c>
      <c r="R21" s="111"/>
      <c r="S21" s="111">
        <v>0.12</v>
      </c>
      <c r="T21" s="111"/>
      <c r="U21" s="111">
        <v>0.13</v>
      </c>
      <c r="W21" s="111">
        <v>0.14000000000000001</v>
      </c>
      <c r="X21" s="111">
        <v>0.14000000000000001</v>
      </c>
      <c r="Y21" s="111">
        <v>0.3</v>
      </c>
      <c r="Z21" s="111">
        <v>0.13</v>
      </c>
      <c r="AA21" s="112">
        <v>0.12</v>
      </c>
      <c r="AB21" s="112">
        <v>0.11</v>
      </c>
      <c r="AC21" s="112">
        <v>0.12</v>
      </c>
      <c r="AD21" s="112">
        <v>0.12</v>
      </c>
      <c r="AE21" s="112">
        <v>0.12</v>
      </c>
      <c r="AF21" s="112">
        <v>0.13</v>
      </c>
      <c r="AG21" s="112">
        <v>0.13</v>
      </c>
      <c r="AH21" s="112">
        <v>0.13</v>
      </c>
      <c r="AI21" s="112">
        <v>0.14000000000000001</v>
      </c>
      <c r="AJ21" s="112">
        <v>0.15</v>
      </c>
      <c r="AK21" s="112">
        <v>0.14000000000000001</v>
      </c>
      <c r="AL21" s="112">
        <v>0.15</v>
      </c>
      <c r="AM21" s="112">
        <v>0.14000000000000001</v>
      </c>
      <c r="AN21" s="112">
        <v>0.12</v>
      </c>
      <c r="AO21" s="112">
        <v>0.15</v>
      </c>
      <c r="AP21" s="112">
        <v>0.16</v>
      </c>
      <c r="AQ21" s="112">
        <v>0.15</v>
      </c>
      <c r="AR21" s="112">
        <v>0.19</v>
      </c>
      <c r="AS21" s="112">
        <v>0.17</v>
      </c>
      <c r="AT21" s="112">
        <v>0.15</v>
      </c>
      <c r="AU21" s="112">
        <f>AU20/AU13</f>
        <v>0.16219937060929096</v>
      </c>
      <c r="AV21" s="112">
        <f>AV20/AV13</f>
        <v>0.11733800350262699</v>
      </c>
      <c r="AW21" s="112">
        <f>AW20/AW13</f>
        <v>0.13972424146649809</v>
      </c>
      <c r="AX21" s="112">
        <f>AX20/AX13</f>
        <v>0.14711759048707074</v>
      </c>
      <c r="AY21" s="112">
        <f>AY20/AY13</f>
        <v>0.15785386134176171</v>
      </c>
      <c r="AZ21" s="105"/>
      <c r="BA21" s="104"/>
      <c r="BB21" s="112">
        <v>0.18</v>
      </c>
      <c r="BC21" s="112">
        <v>0.12</v>
      </c>
      <c r="BD21" s="112">
        <v>0.13</v>
      </c>
      <c r="BE21" s="112">
        <v>0.14000000000000001</v>
      </c>
      <c r="BF21" s="112">
        <v>0.15</v>
      </c>
      <c r="BG21" s="112">
        <v>0.16</v>
      </c>
      <c r="BH21" s="112">
        <v>0.17</v>
      </c>
      <c r="BI21" s="112">
        <f>BI20/BI13</f>
        <v>0.14820461086489331</v>
      </c>
      <c r="BJ21" s="112">
        <f>BJ20/BJ13</f>
        <v>0.14128996456983231</v>
      </c>
      <c r="BK21" s="112">
        <f>BK20/BK13</f>
        <v>0.14160120117961755</v>
      </c>
      <c r="BL21" s="112">
        <f>BL20/BL13</f>
        <v>0.14023588936350947</v>
      </c>
    </row>
    <row r="22" spans="1:67" s="101" customFormat="1" ht="9.75" customHeight="1">
      <c r="B22" s="113"/>
      <c r="C22" s="114"/>
      <c r="D22" s="114"/>
      <c r="E22" s="114"/>
      <c r="F22" s="114"/>
      <c r="G22" s="114"/>
      <c r="H22" s="114"/>
      <c r="I22" s="114"/>
      <c r="J22" s="114"/>
      <c r="K22" s="114"/>
      <c r="L22" s="114"/>
      <c r="M22" s="114"/>
      <c r="N22" s="98"/>
      <c r="O22" s="99"/>
      <c r="P22" s="98"/>
      <c r="Q22" s="114"/>
      <c r="R22" s="115"/>
      <c r="S22" s="114"/>
      <c r="T22" s="115"/>
      <c r="U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99"/>
      <c r="BA22" s="98"/>
      <c r="BB22" s="114"/>
      <c r="BC22" s="114"/>
      <c r="BD22" s="114"/>
      <c r="BE22" s="114"/>
      <c r="BF22" s="114"/>
      <c r="BG22" s="114"/>
      <c r="BH22" s="114"/>
      <c r="BI22" s="114"/>
      <c r="BJ22" s="114"/>
      <c r="BK22" s="114"/>
      <c r="BL22" s="114"/>
    </row>
    <row r="23" spans="1:67" s="3" customFormat="1" ht="3.75" customHeight="1" collapsed="1">
      <c r="B23" s="100"/>
      <c r="C23" s="116"/>
      <c r="D23" s="116"/>
      <c r="E23" s="116"/>
      <c r="F23" s="116"/>
      <c r="G23" s="116"/>
      <c r="H23" s="116"/>
      <c r="I23" s="116"/>
      <c r="J23" s="116"/>
      <c r="K23" s="116"/>
      <c r="L23" s="116"/>
      <c r="M23" s="116"/>
      <c r="N23" s="94"/>
      <c r="O23" s="95"/>
      <c r="P23" s="94"/>
      <c r="Q23" s="116"/>
      <c r="R23" s="89"/>
      <c r="S23" s="116"/>
      <c r="T23" s="89"/>
      <c r="U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95"/>
      <c r="BA23" s="94"/>
      <c r="BB23" s="116"/>
      <c r="BC23" s="116"/>
      <c r="BD23" s="116"/>
      <c r="BE23" s="116"/>
      <c r="BF23" s="116"/>
      <c r="BG23" s="116"/>
      <c r="BH23" s="116"/>
      <c r="BI23" s="116"/>
      <c r="BJ23" s="116"/>
      <c r="BK23" s="116"/>
      <c r="BL23" s="116"/>
    </row>
    <row r="24" spans="1:67" s="3" customFormat="1" ht="3.75" customHeight="1">
      <c r="B24" s="100"/>
      <c r="C24" s="116"/>
      <c r="D24" s="116"/>
      <c r="E24" s="116"/>
      <c r="F24" s="116"/>
      <c r="G24" s="116"/>
      <c r="H24" s="116"/>
      <c r="I24" s="116"/>
      <c r="J24" s="116"/>
      <c r="K24" s="116"/>
      <c r="L24" s="116"/>
      <c r="M24" s="116"/>
      <c r="N24" s="94"/>
      <c r="O24" s="95"/>
      <c r="P24" s="94"/>
      <c r="Q24" s="116" t="s">
        <v>19</v>
      </c>
      <c r="R24" s="89"/>
      <c r="S24" s="116" t="s">
        <v>19</v>
      </c>
      <c r="T24" s="89"/>
      <c r="U24" s="116" t="s">
        <v>19</v>
      </c>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95"/>
      <c r="BA24" s="94"/>
      <c r="BB24" s="116" t="s">
        <v>19</v>
      </c>
      <c r="BC24" s="116" t="s">
        <v>19</v>
      </c>
      <c r="BD24" s="116" t="s">
        <v>19</v>
      </c>
      <c r="BE24" s="116" t="s">
        <v>19</v>
      </c>
      <c r="BF24" s="116" t="s">
        <v>19</v>
      </c>
      <c r="BG24" s="116" t="s">
        <v>19</v>
      </c>
      <c r="BH24" s="116" t="s">
        <v>19</v>
      </c>
      <c r="BI24" s="116"/>
      <c r="BJ24" s="116"/>
      <c r="BK24" s="116"/>
      <c r="BL24" s="116"/>
    </row>
    <row r="25" spans="1:67" s="3" customFormat="1" ht="20.25" customHeight="1">
      <c r="B25" s="274" t="s">
        <v>382</v>
      </c>
      <c r="C25" s="281">
        <v>62.710102628972187</v>
      </c>
      <c r="D25" s="281">
        <v>64.288476546514474</v>
      </c>
      <c r="E25" s="281">
        <v>55.519318129941283</v>
      </c>
      <c r="F25" s="281">
        <v>62.713496568076437</v>
      </c>
      <c r="G25" s="281">
        <v>69.565857508591648</v>
      </c>
      <c r="H25" s="281">
        <v>70.094380977701405</v>
      </c>
      <c r="I25" s="281">
        <v>68.897674360647557</v>
      </c>
      <c r="J25" s="281">
        <v>75.286854938892418</v>
      </c>
      <c r="K25" s="281">
        <v>74.060590318482824</v>
      </c>
      <c r="L25" s="281">
        <v>69.405637364224532</v>
      </c>
      <c r="M25" s="281">
        <v>58.544675911289666</v>
      </c>
      <c r="N25" s="282"/>
      <c r="O25" s="283"/>
      <c r="P25" s="282"/>
      <c r="Q25" s="284">
        <v>245.23139387350437</v>
      </c>
      <c r="R25" s="291"/>
      <c r="S25" s="284">
        <v>283.84476778583303</v>
      </c>
      <c r="T25" s="291"/>
      <c r="U25" s="284">
        <v>277.34218946288945</v>
      </c>
      <c r="V25" s="292"/>
      <c r="W25" s="281">
        <v>62.710529993672061</v>
      </c>
      <c r="X25" s="281">
        <v>64.288477715454505</v>
      </c>
      <c r="Y25" s="281">
        <v>55.519318129941439</v>
      </c>
      <c r="Z25" s="281">
        <v>57.879496740345452</v>
      </c>
      <c r="AA25" s="281">
        <v>69.565857508591634</v>
      </c>
      <c r="AB25" s="281">
        <v>65.058361789016629</v>
      </c>
      <c r="AC25" s="281">
        <v>68.897674360647571</v>
      </c>
      <c r="AD25" s="281">
        <v>72.679524557442477</v>
      </c>
      <c r="AE25" s="281">
        <v>76.353759118482841</v>
      </c>
      <c r="AF25" s="281">
        <v>64.880066794224561</v>
      </c>
      <c r="AG25" s="281">
        <v>60.544675911289723</v>
      </c>
      <c r="AH25" s="281">
        <v>53.023158747313467</v>
      </c>
      <c r="AI25" s="281">
        <v>44.386763049978896</v>
      </c>
      <c r="AJ25" s="281">
        <v>43.179629129386427</v>
      </c>
      <c r="AK25" s="281">
        <v>48.694142254860722</v>
      </c>
      <c r="AL25" s="281">
        <v>37.157180100294823</v>
      </c>
      <c r="AM25" s="281">
        <v>46.4656404891292</v>
      </c>
      <c r="AN25" s="281">
        <v>50.91130261798471</v>
      </c>
      <c r="AO25" s="281">
        <v>36.376240094449585</v>
      </c>
      <c r="AP25" s="281">
        <v>39.530245833904651</v>
      </c>
      <c r="AQ25" s="281">
        <v>14.8</v>
      </c>
      <c r="AR25" s="281">
        <v>16.899999999999999</v>
      </c>
      <c r="AS25" s="281">
        <v>8.1999999999999993</v>
      </c>
      <c r="AT25" s="281">
        <v>16.899999999999999</v>
      </c>
      <c r="AU25" s="281">
        <f>'9. PF EBITDA Reconciliation'!AP43</f>
        <v>14.503637964167897</v>
      </c>
      <c r="AV25" s="281">
        <f>'9. PF EBITDA Reconciliation'!AQ43</f>
        <v>20.99106716</v>
      </c>
      <c r="AW25" s="281">
        <f>'9. PF EBITDA Reconciliation'!AR43</f>
        <v>15.910729808587599</v>
      </c>
      <c r="AX25" s="281">
        <f>'9. PF EBITDA Reconciliation'!AS43</f>
        <v>9.0315942169871697</v>
      </c>
      <c r="AY25" s="281">
        <f>'9. PF EBITDA Reconciliation'!AT43</f>
        <v>12.862000000000002</v>
      </c>
      <c r="AZ25" s="283"/>
      <c r="BA25" s="282"/>
      <c r="BB25" s="284">
        <v>240.39782257941346</v>
      </c>
      <c r="BC25" s="284">
        <v>276.20141821569825</v>
      </c>
      <c r="BD25" s="284">
        <v>254.80166057131058</v>
      </c>
      <c r="BE25" s="284">
        <v>173.41771453452085</v>
      </c>
      <c r="BF25" s="284">
        <v>173.28342903546815</v>
      </c>
      <c r="BG25" s="284">
        <f>SUM(AQ25:AT25)</f>
        <v>56.8</v>
      </c>
      <c r="BH25" s="284">
        <f>SUM(AR25:AU25)</f>
        <v>56.503637964167893</v>
      </c>
      <c r="BI25" s="284">
        <f>SUM(AS25:AV25)</f>
        <v>60.594705124167895</v>
      </c>
      <c r="BJ25" s="284">
        <f t="shared" ref="BJ25:BL25" si="3">AW25+AV25+AU25+AT25</f>
        <v>68.305434932755503</v>
      </c>
      <c r="BK25" s="284">
        <f t="shared" si="3"/>
        <v>60.437029149742671</v>
      </c>
      <c r="BL25" s="284">
        <f t="shared" si="3"/>
        <v>58.795391185574772</v>
      </c>
      <c r="BM25" s="292"/>
      <c r="BN25" s="292"/>
      <c r="BO25" s="292"/>
    </row>
    <row r="26" spans="1:67" s="101" customFormat="1" ht="20.25" customHeight="1">
      <c r="B26" s="285" t="s">
        <v>383</v>
      </c>
      <c r="C26" s="286">
        <v>0.17</v>
      </c>
      <c r="D26" s="286">
        <v>0.18</v>
      </c>
      <c r="E26" s="286">
        <v>0.16</v>
      </c>
      <c r="F26" s="286">
        <v>0.16</v>
      </c>
      <c r="G26" s="286">
        <v>0.18</v>
      </c>
      <c r="H26" s="286">
        <v>0.17</v>
      </c>
      <c r="I26" s="286">
        <v>0.18</v>
      </c>
      <c r="J26" s="286">
        <v>0.19</v>
      </c>
      <c r="K26" s="286">
        <v>0.18</v>
      </c>
      <c r="L26" s="286">
        <v>0.18</v>
      </c>
      <c r="M26" s="286">
        <v>0.16</v>
      </c>
      <c r="N26" s="287"/>
      <c r="O26" s="288"/>
      <c r="P26" s="287"/>
      <c r="Q26" s="289">
        <v>0.17</v>
      </c>
      <c r="R26" s="289"/>
      <c r="S26" s="289">
        <v>0.18</v>
      </c>
      <c r="T26" s="289"/>
      <c r="U26" s="289">
        <v>0.18</v>
      </c>
      <c r="V26" s="293"/>
      <c r="W26" s="289">
        <v>0.17</v>
      </c>
      <c r="X26" s="289">
        <v>0.18</v>
      </c>
      <c r="Y26" s="289">
        <v>0.16</v>
      </c>
      <c r="Z26" s="289">
        <v>0.15</v>
      </c>
      <c r="AA26" s="290">
        <v>0.18</v>
      </c>
      <c r="AB26" s="290">
        <v>0.16</v>
      </c>
      <c r="AC26" s="290">
        <v>0.18</v>
      </c>
      <c r="AD26" s="290">
        <v>0.18</v>
      </c>
      <c r="AE26" s="290">
        <v>0.19</v>
      </c>
      <c r="AF26" s="290">
        <v>0.17</v>
      </c>
      <c r="AG26" s="290">
        <v>0.16</v>
      </c>
      <c r="AH26" s="290">
        <v>0.13</v>
      </c>
      <c r="AI26" s="290">
        <v>0.12</v>
      </c>
      <c r="AJ26" s="290">
        <v>0.14000000000000001</v>
      </c>
      <c r="AK26" s="290">
        <v>0.16</v>
      </c>
      <c r="AL26" s="290">
        <v>0.12</v>
      </c>
      <c r="AM26" s="290">
        <v>0.15</v>
      </c>
      <c r="AN26" s="290">
        <v>0.17</v>
      </c>
      <c r="AO26" s="290">
        <v>0.13</v>
      </c>
      <c r="AP26" s="290">
        <v>0.13</v>
      </c>
      <c r="AQ26" s="290">
        <f t="shared" ref="AQ26:AU26" si="4">AQ25/AQ13</f>
        <v>5.2971070468033787E-2</v>
      </c>
      <c r="AR26" s="290">
        <f t="shared" si="4"/>
        <v>6.3350557891027948E-2</v>
      </c>
      <c r="AS26" s="290">
        <f t="shared" si="4"/>
        <v>3.1056118623855759E-2</v>
      </c>
      <c r="AT26" s="290">
        <f t="shared" si="4"/>
        <v>6.3307307039104838E-2</v>
      </c>
      <c r="AU26" s="290">
        <f t="shared" si="4"/>
        <v>5.3006488121787501E-2</v>
      </c>
      <c r="AV26" s="290">
        <f>AV25/AV13</f>
        <v>7.6907822142757695E-2</v>
      </c>
      <c r="AW26" s="290">
        <f>AW25/AW13</f>
        <v>6.2858445830387161E-2</v>
      </c>
      <c r="AX26" s="290">
        <f>AX25/AX13</f>
        <v>3.415882835471698E-2</v>
      </c>
      <c r="AY26" s="290">
        <f>AY25/AY13</f>
        <v>4.9696880711258121E-2</v>
      </c>
      <c r="AZ26" s="288"/>
      <c r="BA26" s="287"/>
      <c r="BB26" s="290">
        <v>0.17</v>
      </c>
      <c r="BC26" s="290">
        <v>0.17</v>
      </c>
      <c r="BD26" s="290">
        <v>0.16</v>
      </c>
      <c r="BE26" s="290">
        <f t="shared" ref="BE26:BH26" si="5">BE25/BE13</f>
        <v>0.13418269462590596</v>
      </c>
      <c r="BF26" s="290">
        <f t="shared" si="5"/>
        <v>0.14853714129561818</v>
      </c>
      <c r="BG26" s="290">
        <f t="shared" si="5"/>
        <v>5.2729298180467885E-2</v>
      </c>
      <c r="BH26" s="290">
        <f t="shared" si="5"/>
        <v>5.2738135116826478E-2</v>
      </c>
      <c r="BI26" s="290">
        <f>BI25/BI13</f>
        <v>5.6234402057438244E-2</v>
      </c>
      <c r="BJ26" s="290">
        <f>BJ25/BJ13</f>
        <v>6.4042869616800502E-2</v>
      </c>
      <c r="BK26" s="290">
        <f>BK25/BK13</f>
        <v>5.6798622960160694E-2</v>
      </c>
      <c r="BL26" s="290">
        <f>BL25/BL13</f>
        <v>5.6034728229873584E-2</v>
      </c>
      <c r="BM26" s="293"/>
      <c r="BN26" s="293"/>
      <c r="BO26" s="293"/>
    </row>
    <row r="27" spans="1:67" s="3" customFormat="1" ht="3.75" customHeight="1">
      <c r="B27" s="100"/>
      <c r="C27" s="116"/>
      <c r="D27" s="116"/>
      <c r="E27" s="116"/>
      <c r="F27" s="116"/>
      <c r="G27" s="116"/>
      <c r="H27" s="116"/>
      <c r="I27" s="116"/>
      <c r="J27" s="116"/>
      <c r="K27" s="116"/>
      <c r="L27" s="116"/>
      <c r="M27" s="116"/>
      <c r="N27" s="94"/>
      <c r="O27" s="95"/>
      <c r="P27" s="94"/>
      <c r="Q27" s="116"/>
      <c r="R27" s="89"/>
      <c r="S27" s="116"/>
      <c r="T27" s="89"/>
      <c r="U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95"/>
      <c r="BA27" s="94"/>
      <c r="BB27" s="116"/>
      <c r="BC27" s="116"/>
      <c r="BD27" s="116"/>
      <c r="BE27" s="116"/>
      <c r="BF27" s="116"/>
      <c r="BG27" s="116"/>
      <c r="BH27" s="116"/>
      <c r="BI27" s="116"/>
      <c r="BJ27" s="116"/>
      <c r="BK27" s="116"/>
      <c r="BL27" s="116"/>
    </row>
    <row r="28" spans="1:67" s="101" customFormat="1" ht="6" customHeight="1">
      <c r="B28" s="113"/>
      <c r="C28" s="114"/>
      <c r="D28" s="114"/>
      <c r="E28" s="114"/>
      <c r="F28" s="114"/>
      <c r="G28" s="114"/>
      <c r="H28" s="114"/>
      <c r="I28" s="114"/>
      <c r="J28" s="114"/>
      <c r="K28" s="114"/>
      <c r="L28" s="114"/>
      <c r="M28" s="114"/>
      <c r="N28" s="98"/>
      <c r="O28" s="99"/>
      <c r="P28" s="98"/>
      <c r="Q28" s="114"/>
      <c r="R28" s="115"/>
      <c r="S28" s="114"/>
      <c r="T28" s="115"/>
      <c r="U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99"/>
      <c r="BA28" s="98"/>
      <c r="BB28" s="114"/>
      <c r="BC28" s="114"/>
      <c r="BD28" s="114"/>
      <c r="BE28" s="114"/>
      <c r="BF28" s="114"/>
      <c r="BG28" s="114"/>
      <c r="BH28" s="114"/>
      <c r="BI28" s="114"/>
      <c r="BJ28" s="114"/>
      <c r="BK28" s="114"/>
      <c r="BL28" s="114"/>
    </row>
    <row r="29" spans="1:67" s="3" customFormat="1" ht="3.75" customHeight="1">
      <c r="B29" s="100"/>
      <c r="C29" s="116"/>
      <c r="D29" s="116"/>
      <c r="E29" s="116"/>
      <c r="F29" s="116"/>
      <c r="G29" s="116"/>
      <c r="H29" s="116"/>
      <c r="I29" s="116"/>
      <c r="J29" s="116"/>
      <c r="K29" s="116"/>
      <c r="L29" s="116"/>
      <c r="M29" s="116"/>
      <c r="N29" s="94"/>
      <c r="O29" s="95"/>
      <c r="P29" s="94"/>
      <c r="Q29" s="116"/>
      <c r="R29" s="89"/>
      <c r="S29" s="116"/>
      <c r="T29" s="89"/>
      <c r="U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95"/>
      <c r="BA29" s="94"/>
      <c r="BB29" s="116"/>
      <c r="BC29" s="116"/>
      <c r="BD29" s="116"/>
      <c r="BE29" s="116"/>
      <c r="BF29" s="116"/>
      <c r="BG29" s="116"/>
      <c r="BH29" s="116"/>
      <c r="BI29" s="116"/>
      <c r="BJ29" s="116"/>
      <c r="BK29" s="116"/>
      <c r="BL29" s="116"/>
    </row>
    <row r="30" spans="1:67" s="3" customFormat="1" ht="15.6">
      <c r="A30" s="91"/>
      <c r="B30" s="91"/>
      <c r="C30" s="117"/>
      <c r="D30" s="117"/>
      <c r="E30" s="117"/>
      <c r="F30" s="117"/>
      <c r="G30" s="117"/>
      <c r="H30" s="117" t="s">
        <v>19</v>
      </c>
      <c r="I30" s="117" t="s">
        <v>19</v>
      </c>
      <c r="J30" s="117" t="s">
        <v>19</v>
      </c>
      <c r="K30" s="117" t="s">
        <v>19</v>
      </c>
      <c r="L30" s="117" t="s">
        <v>19</v>
      </c>
      <c r="M30" s="117" t="s">
        <v>19</v>
      </c>
      <c r="N30" s="118"/>
      <c r="O30" s="118"/>
      <c r="P30" s="118"/>
      <c r="Q30" s="118"/>
      <c r="R30" s="80"/>
      <c r="S30" s="118"/>
      <c r="T30" s="80"/>
      <c r="U30" s="118"/>
      <c r="AU30" s="262"/>
    </row>
    <row r="31" spans="1:67" s="3" customFormat="1" ht="15.6"/>
    <row r="32" spans="1:67" s="3" customFormat="1" ht="15.6">
      <c r="B32" s="3" t="s">
        <v>255</v>
      </c>
    </row>
    <row r="33" spans="2:2" s="3" customFormat="1" ht="15.6">
      <c r="B33" s="3" t="s">
        <v>256</v>
      </c>
    </row>
    <row r="34" spans="2:2" s="3" customFormat="1" ht="15.6">
      <c r="B34" s="3" t="s">
        <v>257</v>
      </c>
    </row>
    <row r="35" spans="2:2" s="3" customFormat="1" ht="15.6"/>
    <row r="36" spans="2:2" s="3" customFormat="1" ht="15.6"/>
    <row r="37" spans="2:2" hidden="1"/>
    <row r="38" spans="2:2" hidden="1"/>
    <row r="39" spans="2:2"/>
    <row r="40" spans="2:2"/>
    <row r="41" spans="2:2"/>
    <row r="42" spans="2:2"/>
    <row r="43" spans="2:2"/>
  </sheetData>
  <mergeCells count="2">
    <mergeCell ref="C5:M5"/>
    <mergeCell ref="Q5:U5"/>
  </mergeCells>
  <hyperlinks>
    <hyperlink ref="BK3" location="Contents!A1" display="Back"/>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M19"/>
  <sheetViews>
    <sheetView showGridLines="0" zoomScaleNormal="100" workbookViewId="0">
      <selection activeCell="J6" sqref="J6:J17"/>
    </sheetView>
  </sheetViews>
  <sheetFormatPr defaultColWidth="0" defaultRowHeight="0" customHeight="1" zeroHeight="1"/>
  <cols>
    <col min="1" max="1" width="8.44140625" style="2" customWidth="1"/>
    <col min="2" max="2" width="11.44140625" style="2" customWidth="1"/>
    <col min="3" max="3" width="47.6640625" style="2" customWidth="1"/>
    <col min="4" max="9" width="12.109375" style="2" customWidth="1"/>
    <col min="10" max="10" width="12.5546875" style="2" customWidth="1"/>
    <col min="11" max="11" width="8.44140625" style="2" customWidth="1"/>
    <col min="12" max="12" width="8.44140625" style="2" hidden="1" customWidth="1"/>
    <col min="13" max="13" width="14.44140625" style="2" hidden="1" customWidth="1"/>
    <col min="14" max="16384" width="8.44140625" style="2" hidden="1"/>
  </cols>
  <sheetData>
    <row r="1" spans="1:13" ht="13.8">
      <c r="A1" s="1"/>
    </row>
    <row r="2" spans="1:13" ht="13.8"/>
    <row r="3" spans="1:13" ht="18">
      <c r="B3" s="35" t="s">
        <v>11</v>
      </c>
      <c r="C3" s="36"/>
      <c r="D3" s="36"/>
      <c r="E3" s="36"/>
      <c r="F3" s="36"/>
      <c r="G3" s="36"/>
      <c r="H3" s="36"/>
      <c r="I3" s="36"/>
      <c r="J3" s="36"/>
      <c r="K3" s="21" t="s">
        <v>14</v>
      </c>
    </row>
    <row r="4" spans="1:13" ht="18">
      <c r="B4" s="37"/>
      <c r="C4" s="37"/>
      <c r="D4" s="38" t="s">
        <v>258</v>
      </c>
      <c r="E4" s="39">
        <v>2018</v>
      </c>
      <c r="F4" s="39">
        <v>2019</v>
      </c>
      <c r="G4" s="39">
        <v>2020</v>
      </c>
      <c r="H4" s="39">
        <v>2021</v>
      </c>
      <c r="I4" s="39">
        <v>2022</v>
      </c>
      <c r="J4" s="39">
        <v>2023</v>
      </c>
    </row>
    <row r="5" spans="1:13" ht="16.8">
      <c r="A5" s="119"/>
      <c r="B5" s="125" t="s">
        <v>259</v>
      </c>
      <c r="C5" s="119"/>
      <c r="D5" s="119"/>
      <c r="E5" s="119"/>
      <c r="F5" s="119"/>
      <c r="G5" s="119"/>
      <c r="H5" s="119"/>
      <c r="I5" s="119"/>
      <c r="J5" s="119"/>
    </row>
    <row r="6" spans="1:13" ht="16.8">
      <c r="A6" s="119"/>
      <c r="B6" s="119"/>
      <c r="C6" s="126" t="s">
        <v>260</v>
      </c>
      <c r="D6" s="127">
        <v>0.32</v>
      </c>
      <c r="E6" s="127">
        <v>0.36</v>
      </c>
      <c r="F6" s="127">
        <v>0.35</v>
      </c>
      <c r="G6" s="127">
        <v>0.34</v>
      </c>
      <c r="H6" s="127">
        <v>0.34</v>
      </c>
      <c r="I6" s="127">
        <v>0.34</v>
      </c>
      <c r="J6" s="266">
        <v>0.34</v>
      </c>
      <c r="L6" s="41"/>
      <c r="M6" s="41"/>
    </row>
    <row r="7" spans="1:13" ht="16.8">
      <c r="A7" s="119"/>
      <c r="B7" s="119"/>
      <c r="C7" s="126" t="s">
        <v>261</v>
      </c>
      <c r="D7" s="127">
        <v>0.56999999999999995</v>
      </c>
      <c r="E7" s="127">
        <v>0.61</v>
      </c>
      <c r="F7" s="127">
        <v>0.6</v>
      </c>
      <c r="G7" s="127">
        <v>0.6</v>
      </c>
      <c r="H7" s="127">
        <v>0.6100000000000001</v>
      </c>
      <c r="I7" s="127">
        <v>0.6100000000000001</v>
      </c>
      <c r="J7" s="266">
        <v>0.6100000000000001</v>
      </c>
      <c r="L7" s="41"/>
      <c r="M7" s="41"/>
    </row>
    <row r="8" spans="1:13" ht="16.8">
      <c r="A8" s="119"/>
      <c r="B8" s="119"/>
      <c r="C8" s="126" t="s">
        <v>262</v>
      </c>
      <c r="D8" s="127">
        <v>0.7</v>
      </c>
      <c r="E8" s="127">
        <v>0.73</v>
      </c>
      <c r="F8" s="127">
        <v>0.72</v>
      </c>
      <c r="G8" s="127">
        <v>0.72</v>
      </c>
      <c r="H8" s="127">
        <v>0.7400000000000001</v>
      </c>
      <c r="I8" s="127">
        <v>0.73000000000000009</v>
      </c>
      <c r="J8" s="266">
        <v>0.73000000000000009</v>
      </c>
      <c r="L8" s="41"/>
      <c r="M8" s="41"/>
    </row>
    <row r="9" spans="1:13" ht="16.8">
      <c r="A9" s="119"/>
      <c r="B9" s="119"/>
      <c r="C9" s="126"/>
      <c r="D9" s="126"/>
      <c r="E9" s="127"/>
      <c r="F9" s="127"/>
      <c r="G9" s="127"/>
      <c r="H9" s="127"/>
      <c r="I9" s="127"/>
      <c r="J9" s="266"/>
      <c r="L9" s="41"/>
      <c r="M9" s="41"/>
    </row>
    <row r="10" spans="1:13" ht="16.8">
      <c r="A10" s="119"/>
      <c r="B10" s="125" t="s">
        <v>263</v>
      </c>
      <c r="C10" s="119"/>
      <c r="D10" s="119"/>
      <c r="E10" s="119"/>
      <c r="F10" s="119"/>
      <c r="G10" s="119"/>
      <c r="H10" s="119"/>
      <c r="I10" s="119"/>
      <c r="J10" s="267"/>
    </row>
    <row r="11" spans="1:13" ht="16.8">
      <c r="A11" s="119"/>
      <c r="B11" s="119"/>
      <c r="C11" s="126" t="s">
        <v>264</v>
      </c>
      <c r="D11" s="127">
        <v>0.89</v>
      </c>
      <c r="E11" s="127">
        <v>0.85</v>
      </c>
      <c r="F11" s="127">
        <f>1286.678/1562.33</f>
        <v>0.82356352371137986</v>
      </c>
      <c r="G11" s="127">
        <v>0.82</v>
      </c>
      <c r="H11" s="127">
        <v>0.80745730676058913</v>
      </c>
      <c r="I11" s="127">
        <v>0.81598913927002326</v>
      </c>
      <c r="J11" s="266">
        <v>0.81598913927002326</v>
      </c>
      <c r="L11" s="41"/>
      <c r="M11" s="41"/>
    </row>
    <row r="12" spans="1:13" ht="16.8">
      <c r="A12" s="119"/>
      <c r="B12" s="119"/>
      <c r="C12" s="126" t="s">
        <v>265</v>
      </c>
      <c r="D12" s="127">
        <v>0.11</v>
      </c>
      <c r="E12" s="127">
        <v>0.15</v>
      </c>
      <c r="F12" s="127">
        <v>0.18</v>
      </c>
      <c r="G12" s="127">
        <v>0.18</v>
      </c>
      <c r="H12" s="127">
        <v>0.19254269323941103</v>
      </c>
      <c r="I12" s="127">
        <v>0.18401086072997674</v>
      </c>
      <c r="J12" s="266">
        <v>0.18401086072997674</v>
      </c>
      <c r="L12" s="41"/>
      <c r="M12" s="41"/>
    </row>
    <row r="13" spans="1:13" ht="16.8">
      <c r="A13" s="119"/>
      <c r="B13" s="119"/>
      <c r="C13" s="126"/>
      <c r="D13" s="126"/>
      <c r="E13" s="127"/>
      <c r="F13" s="127"/>
      <c r="G13" s="127"/>
      <c r="H13" s="127"/>
      <c r="I13" s="127"/>
      <c r="J13" s="266"/>
      <c r="L13" s="41"/>
      <c r="M13" s="41"/>
    </row>
    <row r="14" spans="1:13" ht="16.8">
      <c r="A14" s="119"/>
      <c r="B14" s="125" t="s">
        <v>266</v>
      </c>
      <c r="C14" s="119"/>
      <c r="D14" s="119"/>
      <c r="E14" s="119"/>
      <c r="F14" s="119"/>
      <c r="G14" s="119"/>
      <c r="H14" s="119"/>
      <c r="I14" s="119"/>
      <c r="J14" s="267"/>
      <c r="L14" s="41"/>
      <c r="M14" s="41"/>
    </row>
    <row r="15" spans="1:13" ht="16.8">
      <c r="A15" s="119"/>
      <c r="B15" s="119"/>
      <c r="C15" s="119"/>
      <c r="D15" s="125"/>
      <c r="E15" s="125"/>
      <c r="F15" s="125"/>
      <c r="G15" s="125"/>
      <c r="H15" s="125"/>
      <c r="I15" s="125"/>
      <c r="J15" s="268"/>
      <c r="L15" s="41"/>
      <c r="M15" s="41"/>
    </row>
    <row r="16" spans="1:13" ht="16.8">
      <c r="A16" s="119"/>
      <c r="B16" s="119"/>
      <c r="C16" s="126" t="s">
        <v>267</v>
      </c>
      <c r="D16" s="119">
        <v>6</v>
      </c>
      <c r="E16" s="119">
        <v>10</v>
      </c>
      <c r="F16" s="119">
        <v>8</v>
      </c>
      <c r="G16" s="119">
        <v>6</v>
      </c>
      <c r="H16" s="119">
        <v>6</v>
      </c>
      <c r="I16" s="119">
        <v>6</v>
      </c>
      <c r="J16" s="267">
        <v>6</v>
      </c>
      <c r="L16" s="41"/>
      <c r="M16" s="41"/>
    </row>
    <row r="17" spans="1:13" ht="16.8">
      <c r="A17" s="119"/>
      <c r="B17" s="119"/>
      <c r="C17" s="126" t="s">
        <v>268</v>
      </c>
      <c r="D17" s="119">
        <v>197</v>
      </c>
      <c r="E17" s="119">
        <v>259</v>
      </c>
      <c r="F17" s="119">
        <v>258</v>
      </c>
      <c r="G17" s="119">
        <v>224</v>
      </c>
      <c r="H17" s="119">
        <v>204</v>
      </c>
      <c r="I17" s="119">
        <v>187</v>
      </c>
      <c r="J17" s="267">
        <v>187</v>
      </c>
      <c r="L17" s="41"/>
      <c r="M17" s="41"/>
    </row>
    <row r="18" spans="1:13" ht="18">
      <c r="B18" s="37"/>
      <c r="C18" s="40"/>
      <c r="D18" s="40"/>
      <c r="E18" s="37"/>
      <c r="F18" s="37"/>
      <c r="G18" s="37"/>
      <c r="H18" s="37"/>
      <c r="I18" s="37"/>
      <c r="J18" s="37"/>
      <c r="L18" s="41"/>
      <c r="M18" s="41"/>
    </row>
    <row r="19" spans="1:13" ht="13.8"/>
  </sheetData>
  <hyperlinks>
    <hyperlink ref="K3" location="Contents!A1" display="Back"/>
  </hyperlinks>
  <pageMargins left="0.25" right="0.25" top="0.75" bottom="0.75" header="0.3" footer="0.3"/>
  <pageSetup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2024-05-16T06:10:37Z</dcterms:modified>
</cp:coreProperties>
</file>